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8490" windowHeight="5520" tabRatio="604"/>
  </bookViews>
  <sheets>
    <sheet name="zad.inwest-1a-28.09" sheetId="124" r:id="rId1"/>
  </sheets>
  <calcPr calcId="125725"/>
</workbook>
</file>

<file path=xl/calcChain.xml><?xml version="1.0" encoding="utf-8"?>
<calcChain xmlns="http://schemas.openxmlformats.org/spreadsheetml/2006/main">
  <c r="H136" i="124"/>
  <c r="F136" s="1"/>
  <c r="H124"/>
  <c r="H102"/>
  <c r="H128"/>
  <c r="H98"/>
  <c r="H96"/>
  <c r="H94"/>
  <c r="H92"/>
  <c r="H79"/>
  <c r="H47"/>
  <c r="F114"/>
  <c r="K134"/>
  <c r="F134" s="1"/>
  <c r="F132"/>
  <c r="F130"/>
  <c r="F128"/>
  <c r="F126"/>
  <c r="F124"/>
  <c r="F122"/>
  <c r="K120"/>
  <c r="F120" s="1"/>
  <c r="K118"/>
  <c r="F118" s="1"/>
  <c r="H116"/>
  <c r="F116" s="1"/>
  <c r="H112"/>
  <c r="F112" s="1"/>
  <c r="H110"/>
  <c r="F110" s="1"/>
  <c r="H108"/>
  <c r="F108" s="1"/>
  <c r="H106"/>
  <c r="F106" s="1"/>
  <c r="H104"/>
  <c r="F104" s="1"/>
  <c r="F102"/>
  <c r="K100"/>
  <c r="F100" s="1"/>
  <c r="F98"/>
  <c r="F96"/>
  <c r="F94"/>
  <c r="F92"/>
  <c r="J89"/>
  <c r="I89"/>
  <c r="H89"/>
  <c r="G89"/>
  <c r="H87"/>
  <c r="F87" s="1"/>
  <c r="H85"/>
  <c r="F85" s="1"/>
  <c r="H83"/>
  <c r="F83" s="1"/>
  <c r="F81"/>
  <c r="F79"/>
  <c r="H77"/>
  <c r="G77"/>
  <c r="F77"/>
  <c r="H75"/>
  <c r="G75"/>
  <c r="F75" s="1"/>
  <c r="G73"/>
  <c r="K73" s="1"/>
  <c r="K71"/>
  <c r="F71" s="1"/>
  <c r="G69"/>
  <c r="K69" s="1"/>
  <c r="G67"/>
  <c r="K67" s="1"/>
  <c r="F65"/>
  <c r="H63"/>
  <c r="F63" s="1"/>
  <c r="H61"/>
  <c r="F61" s="1"/>
  <c r="G59"/>
  <c r="F59" s="1"/>
  <c r="H57"/>
  <c r="G57"/>
  <c r="F57"/>
  <c r="K55"/>
  <c r="F55"/>
  <c r="H53"/>
  <c r="K53" s="1"/>
  <c r="K51"/>
  <c r="H51"/>
  <c r="F51"/>
  <c r="F47"/>
  <c r="H45"/>
  <c r="F45"/>
  <c r="H43"/>
  <c r="F43"/>
  <c r="K41"/>
  <c r="F41"/>
  <c r="K39"/>
  <c r="H39"/>
  <c r="F39" s="1"/>
  <c r="H35"/>
  <c r="K35" s="1"/>
  <c r="H33"/>
  <c r="K33" s="1"/>
  <c r="H31"/>
  <c r="K31" s="1"/>
  <c r="F31" s="1"/>
  <c r="H29"/>
  <c r="K29" s="1"/>
  <c r="K27"/>
  <c r="F27" s="1"/>
  <c r="H27"/>
  <c r="K25"/>
  <c r="F25" s="1"/>
  <c r="H21"/>
  <c r="K21" s="1"/>
  <c r="H19"/>
  <c r="K19" s="1"/>
  <c r="K10" s="1"/>
  <c r="K15"/>
  <c r="F15"/>
  <c r="K13"/>
  <c r="F13" s="1"/>
  <c r="J10"/>
  <c r="J138" s="1"/>
  <c r="I10"/>
  <c r="I138" s="1"/>
  <c r="H10"/>
  <c r="G10"/>
  <c r="G138" s="1"/>
  <c r="H138" l="1"/>
  <c r="F35"/>
  <c r="F67"/>
  <c r="F73"/>
  <c r="F89"/>
  <c r="F19"/>
  <c r="F21"/>
  <c r="F29"/>
  <c r="F33"/>
  <c r="F53"/>
  <c r="F69"/>
  <c r="K89"/>
  <c r="K138" s="1"/>
  <c r="F10" l="1"/>
  <c r="F138" s="1"/>
</calcChain>
</file>

<file path=xl/sharedStrings.xml><?xml version="1.0" encoding="utf-8"?>
<sst xmlns="http://schemas.openxmlformats.org/spreadsheetml/2006/main" count="285" uniqueCount="125">
  <si>
    <t>do Uchwały Rady Miejskiej</t>
  </si>
  <si>
    <t xml:space="preserve">Nr  </t>
  </si>
  <si>
    <t>Dział</t>
  </si>
  <si>
    <t>Rozdział</t>
  </si>
  <si>
    <t>010</t>
  </si>
  <si>
    <t>01095</t>
  </si>
  <si>
    <t>600</t>
  </si>
  <si>
    <t>60016</t>
  </si>
  <si>
    <t>700</t>
  </si>
  <si>
    <t>750</t>
  </si>
  <si>
    <t>2010</t>
  </si>
  <si>
    <t>801</t>
  </si>
  <si>
    <t>80101</t>
  </si>
  <si>
    <t>900</t>
  </si>
  <si>
    <t>Nazwa zadania inwestycyjnego</t>
  </si>
  <si>
    <t>Rok              rozp.</t>
  </si>
  <si>
    <t>Zak.</t>
  </si>
  <si>
    <t>80110</t>
  </si>
  <si>
    <t>2007</t>
  </si>
  <si>
    <t>2008</t>
  </si>
  <si>
    <t>90015</t>
  </si>
  <si>
    <t>2009</t>
  </si>
  <si>
    <t>OGÓŁEM:</t>
  </si>
  <si>
    <t>Środki wykonane w latach ubiegłych</t>
  </si>
  <si>
    <t>Środki do wykonania w latach następnych</t>
  </si>
  <si>
    <t>I. Zadania kontynuowane</t>
  </si>
  <si>
    <t>II. Zadania nowo rozpoczynane</t>
  </si>
  <si>
    <t xml:space="preserve">                                                                                                   jednostka organizacyjna realizująca zadanie</t>
  </si>
  <si>
    <t>90001</t>
  </si>
  <si>
    <t>70095</t>
  </si>
  <si>
    <t>Zespół Szkół Samorządowych w Dąbrowie Bł.</t>
  </si>
  <si>
    <t>Wodociąg kol. Jałówka</t>
  </si>
  <si>
    <t>Urząd Miejski w Dąbrowie Biał.</t>
  </si>
  <si>
    <t>90095</t>
  </si>
  <si>
    <t>926</t>
  </si>
  <si>
    <t>92601</t>
  </si>
  <si>
    <t>2011</t>
  </si>
  <si>
    <t>Łączne koszty finansowe</t>
  </si>
  <si>
    <t>Wodociąg Sadek</t>
  </si>
  <si>
    <t>01010</t>
  </si>
  <si>
    <t>Budowa zespołu wielofunkcyjnych boisk szkolnych w Dąbrowie Białostockiej</t>
  </si>
  <si>
    <t xml:space="preserve">Budowa przydomowych oczyszczalni ścieków w Gminie Dąbrowa Biał. </t>
  </si>
  <si>
    <t>Wykonanie boiska ogólnodostępnego przy ul.Gen.Sulika o nawierzchni syntetycznej</t>
  </si>
  <si>
    <t>Regionalny Program Operacyjny 2010</t>
  </si>
  <si>
    <t>Środki własne budżetowe 2010</t>
  </si>
  <si>
    <t>Zmiana sposobu użytkowania budynku w Zwierzyńcu Wielkim z przeznaczeniem na mieszkania socjalne - dokumentacja</t>
  </si>
  <si>
    <t>Utworzenie szkolnego placu zabaw w ramach rządowego programu "Radosna Szkoła" w Zwierzyńcu Wielkim</t>
  </si>
  <si>
    <t>Oświetlenie wybranych obiektów architektonicznych w Gminie Dąbrowa Biał.</t>
  </si>
  <si>
    <t>Wodociąg Nowa Wieś</t>
  </si>
  <si>
    <t>92109</t>
  </si>
  <si>
    <t>921</t>
  </si>
  <si>
    <t>Wykonanie drogi Kamienna Stara - Kamienna Nowa przez las - dokumentacja</t>
  </si>
  <si>
    <t>Szkoła Podstawowa w Zwierzyńcu Wielkim</t>
  </si>
  <si>
    <t>Budowa boiska wielofunkcyjnego w Zwierzyńcu Wielkim - projekt</t>
  </si>
  <si>
    <t>Wykaz zadań inwestycyjnych i środków na ich realizację w 2010 roku</t>
  </si>
  <si>
    <t>Budowa mostu Jasionówka kol. - dokumentacja</t>
  </si>
  <si>
    <t>"Odnowa Miejscowości" - Remont świetlicy wiejskiej w Kamiennej Starej - dokumentacja</t>
  </si>
  <si>
    <t>"Odnowa Miejscowości" - Wykonanie parkingu, chodnika i oświetlenia w Kamiennej Starej - dokumentacja</t>
  </si>
  <si>
    <t>"Odnowa Miejscowości" - Przebudowa mostu w Kamiennej Starej - dokumentacja</t>
  </si>
  <si>
    <t>Wykonanie wjazdu i parkingu przy Szkole Podstawowej w Nierośnie - dokumentacja</t>
  </si>
  <si>
    <t>Szkoła Podstawowa w Nierośnie</t>
  </si>
  <si>
    <t xml:space="preserve">Budowa kanalizacji sanitarnej w ulicy Tuwima w Dąbrowie Biał. </t>
  </si>
  <si>
    <t>Oświetlenie uliczne w ulicy Armii Krajowej w Dąbrowie Biał.</t>
  </si>
  <si>
    <t xml:space="preserve">Wykonanie nawierzchni asfaltowej w  ulicy Górna, Piękna </t>
  </si>
  <si>
    <t>Integracja Dróg Gminnych z Drogami Powiatowymi i Wojewódzkimi w mieście Dąbrowa Biał., w tym:</t>
  </si>
  <si>
    <t xml:space="preserve">Wykonanie nawierzchni asfaltowej w  ulicy Orzeszkowej </t>
  </si>
  <si>
    <t xml:space="preserve">Wykonanie nawierzchni asfaltowej w  ulicy Kołłątaja </t>
  </si>
  <si>
    <t>Dotacja i środki z budżetu państwa 2010</t>
  </si>
  <si>
    <t>Montaż instalacji solarnej do przygotowania ciepłej wody na obiekcie kotłowni w Różnymstoku</t>
  </si>
  <si>
    <t>Wykonanie nawierzchni w zaułku ulicy Mickiewicza w Dąbrowie Biał.</t>
  </si>
  <si>
    <t>Wykonanie placu zabaw przy ul. Kasztanowej  w Dąbrowie Białostockiej</t>
  </si>
  <si>
    <t xml:space="preserve">Przebudowa drogi gminnej nr 103527B w drodze Harasimowicze </t>
  </si>
  <si>
    <t>Wykonanie placu zabaw przy ul.  Krzyżanowskiego w Dąbrowie Białostockiej</t>
  </si>
  <si>
    <t>Wykonanie parkingu Plac Kościuszki - ul. Tysiąclecia w Dabrowie Biał. - dokumentacja</t>
  </si>
  <si>
    <t>Wodociąg Wesołowo</t>
  </si>
  <si>
    <t>Wodociąg kol. Kamienna Nowa</t>
  </si>
  <si>
    <t>400</t>
  </si>
  <si>
    <t>40002</t>
  </si>
  <si>
    <t>2012</t>
  </si>
  <si>
    <t>754</t>
  </si>
  <si>
    <t>75412</t>
  </si>
  <si>
    <t>Remiza - świetlica w Jacznie - dokumentacja</t>
  </si>
  <si>
    <t>75075</t>
  </si>
  <si>
    <t>90011</t>
  </si>
  <si>
    <t>Rewitalizacja centrum miasta</t>
  </si>
  <si>
    <t>Budowa sieci wodociągowej niebędącej magistralą we wsi Jałówka oraz Sadek w gminie Dąbrowa Bialostocka</t>
  </si>
  <si>
    <t>Szlak współpracy Dąbrowa Białostocka-Mołodeczno szansą na wykorzystanie potencjału turystycznego regionu transgranicznego</t>
  </si>
  <si>
    <t>Projekt na zagospodarowanie terenów "Kalno"</t>
  </si>
  <si>
    <t>Wewnętrzny remont kapitalny sali gimnastycznej przy Zespole Szkół Samorządowych w Dąbrowie Białostockiej wraz z wykonaniem instalacji wentylacyjnej oraz budową dachu nad częścią zaplecza</t>
  </si>
  <si>
    <t>1. Rozbudowa i przebudowa stacji uzdatniania wody</t>
  </si>
  <si>
    <t>2. Rozbudowa i przebudowa oczyszczalni ścieków</t>
  </si>
  <si>
    <t>- ulica Armii Krajowej</t>
  </si>
  <si>
    <t>3. Budowa kanalizacji:</t>
  </si>
  <si>
    <t>- sanitarnej: ulica Małyszówka</t>
  </si>
  <si>
    <t>- sanitarnej ciśnieniowej we wsi Brzozowo</t>
  </si>
  <si>
    <t>- sanitarnej ciśnieniowej we wsi Krugło</t>
  </si>
  <si>
    <t>4. Budowa sieci wodociągowej:</t>
  </si>
  <si>
    <t>- ulica Armii Krajowej od Dworcowej</t>
  </si>
  <si>
    <t>- sanitarnej: ulica Dworcowa i Armii Krajowej</t>
  </si>
  <si>
    <t>- sanitarnej: ulica Kołłątaja</t>
  </si>
  <si>
    <t>- sanitarnej:ulica Armii Krajowej</t>
  </si>
  <si>
    <t>Wykonanie układu opomiarowania instalacji solarnej do przygotowania ciepłej wody w kotłowni w Różanymstoku</t>
  </si>
  <si>
    <t>Wykonanie parkingu przy ulicy Wesołej w Dabrowie Biał.</t>
  </si>
  <si>
    <t>80104</t>
  </si>
  <si>
    <t>wykonanie o 240 zł większe-  ksero projektów</t>
  </si>
  <si>
    <t>do programów</t>
  </si>
  <si>
    <t>Remont dachu w Szkole Podstawowej w Różanymstoku</t>
  </si>
  <si>
    <t>Rozbudowa sieci wodociągowej na terenie gminy Dąbrowa Białostocka - dokumentacja</t>
  </si>
  <si>
    <t xml:space="preserve">Termomodernizacja budynków użyteczności publicznej w Gminie Dąbrowa Białostocka - Szkoła Podstawowa                      </t>
  </si>
  <si>
    <t>Termomodernizacja budynków użyteczności publicznej w Gminie Dąbrowa Białostocka - Samorządowe Przedszkole-Żłobek</t>
  </si>
  <si>
    <t>"Odnowa Miejscowości" - Budowa budynku "Centrum aktywności wsi" w Reszkowcach</t>
  </si>
  <si>
    <t>"Odnowa Miejscowości" - Przebudowa budynku remizy strażackiej na cele świetlicy wiejskiej oraz zagospodarowanie centrum wsi Bagny</t>
  </si>
  <si>
    <t>Wykonanie nakładki asfaltowej w ulicy wsi Jałówka</t>
  </si>
  <si>
    <t>720</t>
  </si>
  <si>
    <t>72095</t>
  </si>
  <si>
    <t>60014</t>
  </si>
  <si>
    <t>Przebudowa drogi powiatowej nr 1253B od drogi wojewódzkiej nr 673-Nierośno-Reszkowce</t>
  </si>
  <si>
    <t>Rozbudowa infrastruktury wodno-ściekowej w aglomeracji Dąbrowa Białostocka:</t>
  </si>
  <si>
    <t>Budowa szerokopasmowej sieci dystrybucyjnej z publicznymi punktami dostępu do internetu gmin: Dąbrowa Białostocka, Nowy Dwór, Suchowola, Korycin, Jasinówka</t>
  </si>
  <si>
    <t>z dnia 28 września 2010 roku</t>
  </si>
  <si>
    <t>Zespół Szkolno-Przedszkolny w Różanymstoku</t>
  </si>
  <si>
    <t>Wodociąg w ul. Pięknej i Górnej w Dąbrowie Biał.</t>
  </si>
  <si>
    <t>Budowa kanalizacji w ul. Pięknej i Górnej w Dąbrowie Biał.</t>
  </si>
  <si>
    <t>Budowa przepustu i osadników w ulicy Armii Krajowej w Dąbrowie Białostockiej</t>
  </si>
  <si>
    <t>Załącznik Nr 2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</si>
</sst>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vertical="center" wrapText="1"/>
    </xf>
    <xf numFmtId="3" fontId="3" fillId="0" borderId="21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1" fillId="0" borderId="69" xfId="0" applyNumberFormat="1" applyFont="1" applyBorder="1" applyAlignment="1">
      <alignment horizontal="center" vertical="center" wrapText="1"/>
    </xf>
    <xf numFmtId="3" fontId="3" fillId="0" borderId="70" xfId="0" applyNumberFormat="1" applyFont="1" applyBorder="1" applyAlignment="1">
      <alignment horizontal="center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49" fontId="1" fillId="0" borderId="44" xfId="0" applyNumberFormat="1" applyFont="1" applyBorder="1" applyAlignment="1">
      <alignment vertical="center" wrapText="1"/>
    </xf>
    <xf numFmtId="49" fontId="1" fillId="0" borderId="0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1" fillId="0" borderId="0" xfId="0" applyNumberFormat="1" applyFont="1" applyBorder="1"/>
    <xf numFmtId="49" fontId="1" fillId="0" borderId="11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 wrapText="1"/>
    </xf>
    <xf numFmtId="49" fontId="1" fillId="0" borderId="24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top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68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64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3" fontId="1" fillId="0" borderId="30" xfId="0" applyNumberFormat="1" applyFont="1" applyBorder="1" applyAlignment="1">
      <alignment horizontal="left" vertical="center" wrapText="1"/>
    </xf>
    <xf numFmtId="3" fontId="1" fillId="0" borderId="31" xfId="0" applyNumberFormat="1" applyFont="1" applyBorder="1" applyAlignment="1">
      <alignment horizontal="left" vertical="center" wrapText="1"/>
    </xf>
    <xf numFmtId="3" fontId="1" fillId="0" borderId="29" xfId="0" applyNumberFormat="1" applyFont="1" applyBorder="1" applyAlignment="1">
      <alignment horizontal="right"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" fontId="1" fillId="0" borderId="30" xfId="0" applyNumberFormat="1" applyFont="1" applyBorder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49" fontId="1" fillId="0" borderId="29" xfId="0" applyNumberFormat="1" applyFont="1" applyBorder="1" applyAlignment="1">
      <alignment horizontal="center" vertical="top" wrapText="1"/>
    </xf>
    <xf numFmtId="49" fontId="1" fillId="0" borderId="44" xfId="0" applyNumberFormat="1" applyFont="1" applyBorder="1" applyAlignment="1">
      <alignment horizontal="center" vertical="top" wrapText="1"/>
    </xf>
    <xf numFmtId="3" fontId="1" fillId="0" borderId="44" xfId="0" applyNumberFormat="1" applyFont="1" applyBorder="1" applyAlignment="1">
      <alignment horizontal="right" vertical="center" wrapText="1"/>
    </xf>
    <xf numFmtId="3" fontId="1" fillId="0" borderId="31" xfId="0" applyNumberFormat="1" applyFont="1" applyBorder="1" applyAlignment="1">
      <alignment horizontal="right" vertical="center" wrapText="1"/>
    </xf>
    <xf numFmtId="49" fontId="1" fillId="0" borderId="24" xfId="0" applyNumberFormat="1" applyFont="1" applyBorder="1" applyAlignment="1">
      <alignment horizontal="center" vertical="top" wrapText="1"/>
    </xf>
    <xf numFmtId="3" fontId="1" fillId="0" borderId="28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3" fontId="1" fillId="0" borderId="32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3" fontId="1" fillId="0" borderId="29" xfId="0" applyNumberFormat="1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54" xfId="0" applyNumberFormat="1" applyFont="1" applyBorder="1" applyAlignment="1">
      <alignment horizontal="right" vertical="center" wrapText="1"/>
    </xf>
    <xf numFmtId="49" fontId="1" fillId="0" borderId="51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left" vertical="center" wrapText="1"/>
    </xf>
    <xf numFmtId="3" fontId="1" fillId="0" borderId="59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3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left" vertical="center" wrapText="1"/>
    </xf>
    <xf numFmtId="3" fontId="1" fillId="0" borderId="26" xfId="0" applyNumberFormat="1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vertical="center" wrapText="1"/>
    </xf>
    <xf numFmtId="49" fontId="1" fillId="0" borderId="56" xfId="0" applyNumberFormat="1" applyFont="1" applyBorder="1" applyAlignment="1">
      <alignment vertical="center" wrapText="1"/>
    </xf>
    <xf numFmtId="3" fontId="1" fillId="0" borderId="51" xfId="0" applyNumberFormat="1" applyFont="1" applyBorder="1" applyAlignment="1">
      <alignment vertical="center" wrapText="1"/>
    </xf>
    <xf numFmtId="3" fontId="1" fillId="0" borderId="26" xfId="0" applyNumberFormat="1" applyFont="1" applyBorder="1" applyAlignment="1">
      <alignment vertical="center" wrapText="1"/>
    </xf>
    <xf numFmtId="3" fontId="1" fillId="0" borderId="42" xfId="0" applyNumberFormat="1" applyFont="1" applyBorder="1" applyAlignment="1">
      <alignment horizontal="right" vertical="center" wrapText="1"/>
    </xf>
    <xf numFmtId="3" fontId="1" fillId="0" borderId="55" xfId="0" applyNumberFormat="1" applyFont="1" applyBorder="1" applyAlignment="1">
      <alignment horizontal="right" vertical="center" wrapText="1"/>
    </xf>
    <xf numFmtId="3" fontId="1" fillId="0" borderId="56" xfId="0" applyNumberFormat="1" applyFont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3" fontId="1" fillId="0" borderId="58" xfId="0" applyNumberFormat="1" applyFont="1" applyBorder="1" applyAlignment="1">
      <alignment horizontal="right" vertical="center" wrapText="1"/>
    </xf>
    <xf numFmtId="49" fontId="1" fillId="0" borderId="29" xfId="0" applyNumberFormat="1" applyFont="1" applyBorder="1" applyAlignment="1">
      <alignment vertical="center" wrapText="1"/>
    </xf>
    <xf numFmtId="49" fontId="1" fillId="0" borderId="24" xfId="0" applyNumberFormat="1" applyFont="1" applyBorder="1" applyAlignment="1">
      <alignment vertical="center" wrapText="1"/>
    </xf>
    <xf numFmtId="49" fontId="1" fillId="0" borderId="51" xfId="0" applyNumberFormat="1" applyFont="1" applyBorder="1" applyAlignment="1">
      <alignment vertical="center" wrapText="1"/>
    </xf>
    <xf numFmtId="49" fontId="1" fillId="0" borderId="26" xfId="0" applyNumberFormat="1" applyFont="1" applyBorder="1" applyAlignment="1">
      <alignment vertical="center" wrapText="1"/>
    </xf>
    <xf numFmtId="3" fontId="1" fillId="0" borderId="53" xfId="0" applyNumberFormat="1" applyFont="1" applyBorder="1" applyAlignment="1">
      <alignment horizontal="right" vertical="center" wrapText="1"/>
    </xf>
    <xf numFmtId="3" fontId="1" fillId="0" borderId="73" xfId="0" applyNumberFormat="1" applyFont="1" applyBorder="1" applyAlignment="1">
      <alignment horizontal="right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left" vertical="center" wrapText="1"/>
    </xf>
    <xf numFmtId="49" fontId="1" fillId="0" borderId="72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56" xfId="0" applyNumberFormat="1" applyFont="1" applyBorder="1" applyAlignment="1">
      <alignment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54" xfId="0" applyNumberFormat="1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left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3" fontId="1" fillId="0" borderId="49" xfId="0" applyNumberFormat="1" applyFont="1" applyBorder="1" applyAlignment="1">
      <alignment vertical="center" wrapText="1"/>
    </xf>
    <xf numFmtId="3" fontId="1" fillId="0" borderId="65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34" xfId="0" applyNumberFormat="1" applyFont="1" applyBorder="1" applyAlignment="1">
      <alignment vertical="center" wrapText="1"/>
    </xf>
    <xf numFmtId="3" fontId="1" fillId="0" borderId="55" xfId="0" applyNumberFormat="1" applyFont="1" applyBorder="1" applyAlignment="1">
      <alignment horizontal="left" vertical="center" wrapText="1"/>
    </xf>
    <xf numFmtId="3" fontId="1" fillId="0" borderId="56" xfId="0" applyNumberFormat="1" applyFont="1" applyBorder="1" applyAlignment="1">
      <alignment horizontal="left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3" fontId="1" fillId="0" borderId="62" xfId="0" applyNumberFormat="1" applyFont="1" applyBorder="1" applyAlignment="1">
      <alignment horizontal="left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3" fontId="1" fillId="0" borderId="34" xfId="0" applyNumberFormat="1" applyFont="1" applyBorder="1" applyAlignment="1">
      <alignment horizontal="right" vertical="center" wrapText="1"/>
    </xf>
    <xf numFmtId="3" fontId="1" fillId="0" borderId="60" xfId="0" applyNumberFormat="1" applyFont="1" applyBorder="1" applyAlignment="1">
      <alignment horizontal="right" vertical="center" wrapText="1"/>
    </xf>
    <xf numFmtId="3" fontId="1" fillId="0" borderId="62" xfId="0" applyNumberFormat="1" applyFont="1" applyBorder="1" applyAlignment="1">
      <alignment horizontal="right" vertical="center" wrapText="1"/>
    </xf>
    <xf numFmtId="3" fontId="1" fillId="0" borderId="51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vertical="center" wrapText="1"/>
    </xf>
    <xf numFmtId="0" fontId="0" fillId="0" borderId="24" xfId="0" applyFont="1" applyBorder="1"/>
    <xf numFmtId="3" fontId="1" fillId="0" borderId="46" xfId="0" applyNumberFormat="1" applyFont="1" applyBorder="1" applyAlignment="1">
      <alignment horizontal="right" vertical="center" wrapText="1"/>
    </xf>
    <xf numFmtId="3" fontId="1" fillId="0" borderId="57" xfId="0" applyNumberFormat="1" applyFont="1" applyBorder="1" applyAlignment="1">
      <alignment horizontal="right" vertical="center" wrapText="1"/>
    </xf>
    <xf numFmtId="49" fontId="1" fillId="0" borderId="63" xfId="0" applyNumberFormat="1" applyFont="1" applyBorder="1" applyAlignment="1">
      <alignment horizontal="center" vertical="center" wrapText="1"/>
    </xf>
    <xf numFmtId="49" fontId="1" fillId="0" borderId="66" xfId="0" applyNumberFormat="1" applyFont="1" applyBorder="1" applyAlignment="1">
      <alignment horizontal="left" vertical="center" wrapText="1"/>
    </xf>
    <xf numFmtId="49" fontId="1" fillId="0" borderId="6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8"/>
  <sheetViews>
    <sheetView tabSelected="1" zoomScaleNormal="75" workbookViewId="0">
      <selection activeCell="E10" sqref="E10"/>
    </sheetView>
  </sheetViews>
  <sheetFormatPr defaultColWidth="7.85546875" defaultRowHeight="12"/>
  <cols>
    <col min="1" max="1" width="4.5703125" style="7" customWidth="1"/>
    <col min="2" max="2" width="6.5703125" style="7" customWidth="1"/>
    <col min="3" max="3" width="43.5703125" style="42" customWidth="1"/>
    <col min="4" max="4" width="5" style="2" customWidth="1"/>
    <col min="5" max="5" width="18" style="3" customWidth="1"/>
    <col min="6" max="6" width="9.85546875" style="2" customWidth="1"/>
    <col min="7" max="8" width="10.140625" style="2" customWidth="1"/>
    <col min="9" max="9" width="9.28515625" style="2" customWidth="1"/>
    <col min="10" max="10" width="9.5703125" style="2" customWidth="1"/>
    <col min="11" max="11" width="10" style="2" customWidth="1"/>
    <col min="12" max="17" width="7.85546875" style="2" hidden="1" customWidth="1"/>
    <col min="18" max="26" width="7.85546875" style="2" customWidth="1"/>
    <col min="27" max="16384" width="7.85546875" style="2"/>
  </cols>
  <sheetData>
    <row r="1" spans="1:11" ht="15">
      <c r="A1" s="4"/>
      <c r="B1" s="4"/>
      <c r="C1" s="41"/>
      <c r="D1" s="1"/>
      <c r="E1" s="47"/>
      <c r="F1" s="1"/>
      <c r="G1" s="1"/>
      <c r="H1" s="2" t="s">
        <v>124</v>
      </c>
    </row>
    <row r="2" spans="1:11" ht="15">
      <c r="A2" s="4"/>
      <c r="B2" s="4"/>
      <c r="C2" s="41"/>
      <c r="D2" s="1"/>
      <c r="E2" s="47"/>
      <c r="F2" s="1"/>
      <c r="G2" s="11"/>
      <c r="H2" s="11" t="s">
        <v>0</v>
      </c>
      <c r="I2" s="11"/>
      <c r="J2" s="11"/>
      <c r="K2" s="11"/>
    </row>
    <row r="3" spans="1:11">
      <c r="A3" s="4"/>
      <c r="B3" s="4"/>
      <c r="D3" s="1"/>
      <c r="E3" s="10"/>
      <c r="F3" s="1"/>
      <c r="G3" s="1"/>
      <c r="H3" s="2" t="s">
        <v>1</v>
      </c>
    </row>
    <row r="4" spans="1:11">
      <c r="A4" s="4"/>
      <c r="B4" s="4"/>
      <c r="C4" s="43"/>
      <c r="D4" s="1"/>
      <c r="E4" s="10"/>
      <c r="F4" s="1"/>
      <c r="G4" s="1"/>
      <c r="H4" s="2" t="s">
        <v>119</v>
      </c>
    </row>
    <row r="5" spans="1:11" s="1" customFormat="1" ht="18" customHeight="1">
      <c r="A5" s="62" t="s">
        <v>54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3" customHeight="1" thickBot="1">
      <c r="A6" s="4"/>
      <c r="B6" s="4"/>
      <c r="C6" s="44"/>
      <c r="D6" s="5"/>
      <c r="E6" s="48"/>
      <c r="F6" s="1"/>
      <c r="G6" s="1"/>
      <c r="H6" s="1"/>
      <c r="I6" s="1"/>
      <c r="J6" s="1"/>
      <c r="K6" s="1"/>
    </row>
    <row r="7" spans="1:11" s="9" customFormat="1" ht="30" customHeight="1" thickTop="1" thickBot="1">
      <c r="A7" s="63" t="s">
        <v>2</v>
      </c>
      <c r="B7" s="64" t="s">
        <v>3</v>
      </c>
      <c r="C7" s="65" t="s">
        <v>14</v>
      </c>
      <c r="D7" s="22" t="s">
        <v>15</v>
      </c>
      <c r="E7" s="66" t="s">
        <v>27</v>
      </c>
      <c r="F7" s="64" t="s">
        <v>37</v>
      </c>
      <c r="G7" s="64" t="s">
        <v>23</v>
      </c>
      <c r="H7" s="68" t="s">
        <v>44</v>
      </c>
      <c r="I7" s="70" t="s">
        <v>43</v>
      </c>
      <c r="J7" s="64" t="s">
        <v>67</v>
      </c>
      <c r="K7" s="64" t="s">
        <v>24</v>
      </c>
    </row>
    <row r="8" spans="1:11" s="9" customFormat="1" ht="30" customHeight="1" thickTop="1" thickBot="1">
      <c r="A8" s="63"/>
      <c r="B8" s="64"/>
      <c r="C8" s="65"/>
      <c r="D8" s="23" t="s">
        <v>16</v>
      </c>
      <c r="E8" s="67"/>
      <c r="F8" s="64"/>
      <c r="G8" s="64"/>
      <c r="H8" s="69"/>
      <c r="I8" s="70"/>
      <c r="J8" s="64"/>
      <c r="K8" s="64"/>
    </row>
    <row r="9" spans="1:11" ht="15.75" customHeight="1" thickTop="1" thickBot="1">
      <c r="A9" s="12">
        <v>1</v>
      </c>
      <c r="B9" s="24">
        <v>2</v>
      </c>
      <c r="C9" s="45">
        <v>3</v>
      </c>
      <c r="D9" s="24">
        <v>4</v>
      </c>
      <c r="E9" s="12">
        <v>5</v>
      </c>
      <c r="F9" s="24">
        <v>6</v>
      </c>
      <c r="G9" s="24">
        <v>7</v>
      </c>
      <c r="H9" s="37">
        <v>8</v>
      </c>
      <c r="I9" s="35">
        <v>9</v>
      </c>
      <c r="J9" s="24">
        <v>10</v>
      </c>
      <c r="K9" s="24">
        <v>11</v>
      </c>
    </row>
    <row r="10" spans="1:11" s="6" customFormat="1" ht="18.75" customHeight="1" thickTop="1">
      <c r="A10" s="25"/>
      <c r="B10" s="26"/>
      <c r="C10" s="46" t="s">
        <v>25</v>
      </c>
      <c r="D10" s="16"/>
      <c r="E10" s="49"/>
      <c r="F10" s="27">
        <f t="shared" ref="F10:K10" si="0">SUM(F11:F88)</f>
        <v>28008733</v>
      </c>
      <c r="G10" s="27">
        <f t="shared" si="0"/>
        <v>1609350</v>
      </c>
      <c r="H10" s="38">
        <f t="shared" si="0"/>
        <v>4702219</v>
      </c>
      <c r="I10" s="50">
        <f t="shared" si="0"/>
        <v>2320886</v>
      </c>
      <c r="J10" s="27">
        <f t="shared" si="0"/>
        <v>300000</v>
      </c>
      <c r="K10" s="27">
        <f t="shared" si="0"/>
        <v>19076278</v>
      </c>
    </row>
    <row r="11" spans="1:11" ht="18" customHeight="1">
      <c r="A11" s="71" t="s">
        <v>4</v>
      </c>
      <c r="B11" s="71" t="s">
        <v>39</v>
      </c>
      <c r="C11" s="73" t="s">
        <v>85</v>
      </c>
      <c r="D11" s="52" t="s">
        <v>21</v>
      </c>
      <c r="E11" s="75" t="s">
        <v>32</v>
      </c>
      <c r="F11" s="77"/>
      <c r="G11" s="77"/>
      <c r="H11" s="77"/>
      <c r="I11" s="79"/>
      <c r="J11" s="77"/>
      <c r="K11" s="81"/>
    </row>
    <row r="12" spans="1:11" ht="20.25" customHeight="1">
      <c r="A12" s="72"/>
      <c r="B12" s="72"/>
      <c r="C12" s="74"/>
      <c r="D12" s="83" t="s">
        <v>36</v>
      </c>
      <c r="E12" s="76"/>
      <c r="F12" s="78"/>
      <c r="G12" s="78"/>
      <c r="H12" s="78"/>
      <c r="I12" s="80"/>
      <c r="J12" s="78"/>
      <c r="K12" s="82"/>
    </row>
    <row r="13" spans="1:11" ht="7.5" customHeight="1">
      <c r="A13" s="72"/>
      <c r="B13" s="72"/>
      <c r="C13" s="73" t="s">
        <v>31</v>
      </c>
      <c r="D13" s="84"/>
      <c r="E13" s="76"/>
      <c r="F13" s="77">
        <f>SUM(G13:K13)</f>
        <v>229122</v>
      </c>
      <c r="G13" s="77">
        <v>17157</v>
      </c>
      <c r="H13" s="77">
        <v>2000</v>
      </c>
      <c r="I13" s="77"/>
      <c r="J13" s="77"/>
      <c r="K13" s="77">
        <f>229122-SUM(G13:J14)</f>
        <v>209965</v>
      </c>
    </row>
    <row r="14" spans="1:11" ht="7.5" customHeight="1">
      <c r="A14" s="72"/>
      <c r="B14" s="72"/>
      <c r="C14" s="74"/>
      <c r="D14" s="84"/>
      <c r="E14" s="76"/>
      <c r="F14" s="78"/>
      <c r="G14" s="78"/>
      <c r="H14" s="78"/>
      <c r="I14" s="78"/>
      <c r="J14" s="78"/>
      <c r="K14" s="78"/>
    </row>
    <row r="15" spans="1:11" ht="7.5" customHeight="1">
      <c r="A15" s="72"/>
      <c r="B15" s="72"/>
      <c r="C15" s="73" t="s">
        <v>38</v>
      </c>
      <c r="D15" s="84"/>
      <c r="E15" s="76"/>
      <c r="F15" s="77">
        <f>SUM(G15:K15)</f>
        <v>262727</v>
      </c>
      <c r="G15" s="77">
        <v>17127</v>
      </c>
      <c r="H15" s="77">
        <v>2000</v>
      </c>
      <c r="I15" s="77"/>
      <c r="J15" s="77"/>
      <c r="K15" s="77">
        <f>262727-SUM(G15:J16)</f>
        <v>243600</v>
      </c>
    </row>
    <row r="16" spans="1:11" ht="7.5" customHeight="1">
      <c r="A16" s="72"/>
      <c r="B16" s="72"/>
      <c r="C16" s="74"/>
      <c r="D16" s="84"/>
      <c r="E16" s="76"/>
      <c r="F16" s="78"/>
      <c r="G16" s="78"/>
      <c r="H16" s="78"/>
      <c r="I16" s="78"/>
      <c r="J16" s="78"/>
      <c r="K16" s="78"/>
    </row>
    <row r="17" spans="1:11" ht="14.25" customHeight="1">
      <c r="A17" s="55"/>
      <c r="B17" s="55"/>
      <c r="C17" s="73" t="s">
        <v>117</v>
      </c>
      <c r="D17" s="52" t="s">
        <v>21</v>
      </c>
      <c r="E17" s="75" t="s">
        <v>32</v>
      </c>
      <c r="F17" s="77"/>
      <c r="G17" s="77"/>
      <c r="H17" s="77"/>
      <c r="I17" s="79"/>
      <c r="J17" s="77"/>
      <c r="K17" s="81"/>
    </row>
    <row r="18" spans="1:11" ht="10.5" customHeight="1">
      <c r="A18" s="40"/>
      <c r="B18" s="40"/>
      <c r="C18" s="90"/>
      <c r="D18" s="83" t="s">
        <v>78</v>
      </c>
      <c r="E18" s="76"/>
      <c r="F18" s="85"/>
      <c r="G18" s="85"/>
      <c r="H18" s="85"/>
      <c r="I18" s="92"/>
      <c r="J18" s="85"/>
      <c r="K18" s="86"/>
    </row>
    <row r="19" spans="1:11" ht="10.5" customHeight="1">
      <c r="A19" s="72" t="s">
        <v>76</v>
      </c>
      <c r="B19" s="72" t="s">
        <v>77</v>
      </c>
      <c r="C19" s="73" t="s">
        <v>89</v>
      </c>
      <c r="D19" s="84"/>
      <c r="E19" s="76"/>
      <c r="F19" s="77">
        <f>SUM(G19:K19)</f>
        <v>3621347</v>
      </c>
      <c r="G19" s="77"/>
      <c r="H19" s="77">
        <f>65000+1000</f>
        <v>66000</v>
      </c>
      <c r="I19" s="88"/>
      <c r="J19" s="77"/>
      <c r="K19" s="77">
        <f>3586000-SUM(G19:J20)+146+35201</f>
        <v>3555347</v>
      </c>
    </row>
    <row r="20" spans="1:11" ht="10.5" customHeight="1">
      <c r="A20" s="72"/>
      <c r="B20" s="72"/>
      <c r="C20" s="74"/>
      <c r="D20" s="84"/>
      <c r="E20" s="76"/>
      <c r="F20" s="78"/>
      <c r="G20" s="78"/>
      <c r="H20" s="78"/>
      <c r="I20" s="89"/>
      <c r="J20" s="78"/>
      <c r="K20" s="78"/>
    </row>
    <row r="21" spans="1:11" ht="10.5" customHeight="1">
      <c r="A21" s="72" t="s">
        <v>13</v>
      </c>
      <c r="B21" s="72" t="s">
        <v>28</v>
      </c>
      <c r="C21" s="90" t="s">
        <v>90</v>
      </c>
      <c r="D21" s="84"/>
      <c r="E21" s="76"/>
      <c r="F21" s="85">
        <f>SUM(G21:K22)</f>
        <v>6970986</v>
      </c>
      <c r="G21" s="85"/>
      <c r="H21" s="85">
        <f>120000+5000</f>
        <v>125000</v>
      </c>
      <c r="I21" s="92"/>
      <c r="J21" s="85"/>
      <c r="K21" s="86">
        <f>6663869+57117-SUM(G21:J22)+250000</f>
        <v>6845986</v>
      </c>
    </row>
    <row r="22" spans="1:11" ht="10.5" customHeight="1">
      <c r="A22" s="72"/>
      <c r="B22" s="72"/>
      <c r="C22" s="74"/>
      <c r="D22" s="84"/>
      <c r="E22" s="76"/>
      <c r="F22" s="78"/>
      <c r="G22" s="78"/>
      <c r="H22" s="78"/>
      <c r="I22" s="80"/>
      <c r="J22" s="78"/>
      <c r="K22" s="82"/>
    </row>
    <row r="23" spans="1:11" ht="9" customHeight="1">
      <c r="A23" s="72" t="s">
        <v>13</v>
      </c>
      <c r="B23" s="72" t="s">
        <v>28</v>
      </c>
      <c r="C23" s="90" t="s">
        <v>92</v>
      </c>
      <c r="D23" s="84"/>
      <c r="E23" s="76"/>
      <c r="F23" s="85"/>
      <c r="G23" s="85"/>
      <c r="H23" s="85"/>
      <c r="I23" s="92"/>
      <c r="J23" s="85"/>
      <c r="K23" s="86"/>
    </row>
    <row r="24" spans="1:11" ht="9" customHeight="1">
      <c r="A24" s="72"/>
      <c r="B24" s="72"/>
      <c r="C24" s="74"/>
      <c r="D24" s="84"/>
      <c r="E24" s="76"/>
      <c r="F24" s="78"/>
      <c r="G24" s="78"/>
      <c r="H24" s="78"/>
      <c r="I24" s="80"/>
      <c r="J24" s="78"/>
      <c r="K24" s="82"/>
    </row>
    <row r="25" spans="1:11" ht="9" customHeight="1">
      <c r="A25" s="40"/>
      <c r="B25" s="40"/>
      <c r="C25" s="73" t="s">
        <v>93</v>
      </c>
      <c r="D25" s="84"/>
      <c r="E25" s="76"/>
      <c r="F25" s="77">
        <f>SUM(G25:K25)</f>
        <v>1301327</v>
      </c>
      <c r="G25" s="77"/>
      <c r="H25" s="77">
        <v>50000</v>
      </c>
      <c r="I25" s="88"/>
      <c r="J25" s="77"/>
      <c r="K25" s="77">
        <f>1269438-SUM(G25:J26)+19500+12389</f>
        <v>1251327</v>
      </c>
    </row>
    <row r="26" spans="1:11" ht="9" customHeight="1">
      <c r="A26" s="40"/>
      <c r="B26" s="40"/>
      <c r="C26" s="74"/>
      <c r="D26" s="84"/>
      <c r="E26" s="76"/>
      <c r="F26" s="78"/>
      <c r="G26" s="78"/>
      <c r="H26" s="78"/>
      <c r="I26" s="89"/>
      <c r="J26" s="78"/>
      <c r="K26" s="78"/>
    </row>
    <row r="27" spans="1:11" ht="9" customHeight="1">
      <c r="A27" s="40"/>
      <c r="B27" s="40"/>
      <c r="C27" s="73" t="s">
        <v>100</v>
      </c>
      <c r="D27" s="84"/>
      <c r="E27" s="76"/>
      <c r="F27" s="77">
        <f>SUM(G27:K27)</f>
        <v>423549</v>
      </c>
      <c r="G27" s="77"/>
      <c r="H27" s="77">
        <f>1000+20000</f>
        <v>21000</v>
      </c>
      <c r="I27" s="88"/>
      <c r="J27" s="77"/>
      <c r="K27" s="77">
        <f>423025-SUM(G27:J28)+524</f>
        <v>402549</v>
      </c>
    </row>
    <row r="28" spans="1:11" ht="9" customHeight="1">
      <c r="A28" s="40"/>
      <c r="B28" s="40"/>
      <c r="C28" s="74"/>
      <c r="D28" s="84"/>
      <c r="E28" s="76"/>
      <c r="F28" s="78"/>
      <c r="G28" s="78"/>
      <c r="H28" s="78"/>
      <c r="I28" s="89"/>
      <c r="J28" s="78"/>
      <c r="K28" s="78"/>
    </row>
    <row r="29" spans="1:11" ht="9" customHeight="1">
      <c r="A29" s="40"/>
      <c r="B29" s="40"/>
      <c r="C29" s="90" t="s">
        <v>99</v>
      </c>
      <c r="D29" s="84"/>
      <c r="E29" s="76"/>
      <c r="F29" s="85">
        <f>SUM(G29:K29)</f>
        <v>282549</v>
      </c>
      <c r="G29" s="85">
        <v>5685</v>
      </c>
      <c r="H29" s="85">
        <f>20000-9000-10500</f>
        <v>500</v>
      </c>
      <c r="I29" s="92"/>
      <c r="J29" s="85"/>
      <c r="K29" s="86">
        <f>279313-SUM(G29:J30)+500+2736</f>
        <v>276364</v>
      </c>
    </row>
    <row r="30" spans="1:11" ht="9" customHeight="1">
      <c r="A30" s="40"/>
      <c r="B30" s="40"/>
      <c r="C30" s="74"/>
      <c r="D30" s="84"/>
      <c r="E30" s="76"/>
      <c r="F30" s="78"/>
      <c r="G30" s="78"/>
      <c r="H30" s="78"/>
      <c r="I30" s="80"/>
      <c r="J30" s="78"/>
      <c r="K30" s="82"/>
    </row>
    <row r="31" spans="1:11" ht="9" customHeight="1">
      <c r="A31" s="40"/>
      <c r="B31" s="40"/>
      <c r="C31" s="73" t="s">
        <v>94</v>
      </c>
      <c r="D31" s="84"/>
      <c r="E31" s="76"/>
      <c r="F31" s="77">
        <f>SUM(G31:K31)</f>
        <v>972758</v>
      </c>
      <c r="G31" s="77"/>
      <c r="H31" s="77">
        <f>3500+20000</f>
        <v>23500</v>
      </c>
      <c r="I31" s="88"/>
      <c r="J31" s="77"/>
      <c r="K31" s="77">
        <f>939402+23500+9855-SUM(G31:J32)+1</f>
        <v>949258</v>
      </c>
    </row>
    <row r="32" spans="1:11" ht="9" customHeight="1">
      <c r="A32" s="40"/>
      <c r="B32" s="40"/>
      <c r="C32" s="74"/>
      <c r="D32" s="84"/>
      <c r="E32" s="76"/>
      <c r="F32" s="78"/>
      <c r="G32" s="78"/>
      <c r="H32" s="78"/>
      <c r="I32" s="89"/>
      <c r="J32" s="78"/>
      <c r="K32" s="78"/>
    </row>
    <row r="33" spans="1:18" ht="9" customHeight="1">
      <c r="A33" s="40"/>
      <c r="B33" s="40"/>
      <c r="C33" s="73" t="s">
        <v>95</v>
      </c>
      <c r="D33" s="84"/>
      <c r="E33" s="76"/>
      <c r="F33" s="77">
        <f>SUM(G33:K33)</f>
        <v>887714</v>
      </c>
      <c r="G33" s="77"/>
      <c r="H33" s="77">
        <f>7600+20000</f>
        <v>27600</v>
      </c>
      <c r="I33" s="79"/>
      <c r="J33" s="77"/>
      <c r="K33" s="77">
        <f>851548+27600+8565-SUM(G33:J34)+1</f>
        <v>860114</v>
      </c>
    </row>
    <row r="34" spans="1:18" ht="5.25" customHeight="1">
      <c r="A34" s="40"/>
      <c r="B34" s="40"/>
      <c r="C34" s="74"/>
      <c r="D34" s="84"/>
      <c r="E34" s="76"/>
      <c r="F34" s="78"/>
      <c r="G34" s="78"/>
      <c r="H34" s="78"/>
      <c r="I34" s="80"/>
      <c r="J34" s="78"/>
      <c r="K34" s="78"/>
    </row>
    <row r="35" spans="1:18" ht="9" customHeight="1">
      <c r="A35" s="40"/>
      <c r="B35" s="40"/>
      <c r="C35" s="90" t="s">
        <v>98</v>
      </c>
      <c r="D35" s="84"/>
      <c r="E35" s="76"/>
      <c r="F35" s="85">
        <f>SUM(G35:K35)</f>
        <v>437022</v>
      </c>
      <c r="G35" s="85">
        <v>6214</v>
      </c>
      <c r="H35" s="85">
        <f>6490-6214</f>
        <v>276</v>
      </c>
      <c r="I35" s="92"/>
      <c r="J35" s="85"/>
      <c r="K35" s="86">
        <f>432759-SUM(G35:J36)+4263</f>
        <v>430532</v>
      </c>
    </row>
    <row r="36" spans="1:18" ht="9" customHeight="1">
      <c r="A36" s="40"/>
      <c r="B36" s="40"/>
      <c r="C36" s="74"/>
      <c r="D36" s="84"/>
      <c r="E36" s="76"/>
      <c r="F36" s="78"/>
      <c r="G36" s="78"/>
      <c r="H36" s="78"/>
      <c r="I36" s="80"/>
      <c r="J36" s="78"/>
      <c r="K36" s="82"/>
    </row>
    <row r="37" spans="1:18" ht="8.25" customHeight="1">
      <c r="A37" s="72" t="s">
        <v>4</v>
      </c>
      <c r="B37" s="72" t="s">
        <v>39</v>
      </c>
      <c r="C37" s="73" t="s">
        <v>96</v>
      </c>
      <c r="D37" s="84"/>
      <c r="E37" s="76"/>
      <c r="F37" s="77"/>
      <c r="G37" s="77"/>
      <c r="H37" s="77"/>
      <c r="I37" s="88"/>
      <c r="J37" s="77"/>
      <c r="K37" s="77"/>
    </row>
    <row r="38" spans="1:18" ht="8.25" customHeight="1">
      <c r="A38" s="72"/>
      <c r="B38" s="72"/>
      <c r="C38" s="74"/>
      <c r="D38" s="84"/>
      <c r="E38" s="76"/>
      <c r="F38" s="78"/>
      <c r="G38" s="78"/>
      <c r="H38" s="78"/>
      <c r="I38" s="89"/>
      <c r="J38" s="78"/>
      <c r="K38" s="78"/>
    </row>
    <row r="39" spans="1:18" ht="8.25" customHeight="1">
      <c r="A39" s="40"/>
      <c r="B39" s="40"/>
      <c r="C39" s="73" t="s">
        <v>91</v>
      </c>
      <c r="D39" s="84"/>
      <c r="E39" s="76"/>
      <c r="F39" s="77">
        <f>SUM(G39:K39)</f>
        <v>237734</v>
      </c>
      <c r="G39" s="77"/>
      <c r="H39" s="77">
        <f>15000+1000</f>
        <v>16000</v>
      </c>
      <c r="I39" s="88"/>
      <c r="J39" s="77"/>
      <c r="K39" s="77">
        <f>219697+2037</f>
        <v>221734</v>
      </c>
    </row>
    <row r="40" spans="1:18" ht="8.25" customHeight="1">
      <c r="A40" s="40"/>
      <c r="B40" s="40"/>
      <c r="C40" s="74"/>
      <c r="D40" s="84"/>
      <c r="E40" s="76"/>
      <c r="F40" s="78"/>
      <c r="G40" s="78"/>
      <c r="H40" s="78"/>
      <c r="I40" s="89"/>
      <c r="J40" s="78"/>
      <c r="K40" s="78"/>
    </row>
    <row r="41" spans="1:18" ht="8.25" customHeight="1">
      <c r="A41" s="40"/>
      <c r="B41" s="40"/>
      <c r="C41" s="73" t="s">
        <v>97</v>
      </c>
      <c r="D41" s="84"/>
      <c r="E41" s="76"/>
      <c r="F41" s="77">
        <f>SUM(G41:K41)</f>
        <v>64736</v>
      </c>
      <c r="G41" s="77">
        <v>4965</v>
      </c>
      <c r="H41" s="77">
        <v>100</v>
      </c>
      <c r="I41" s="88"/>
      <c r="J41" s="77"/>
      <c r="K41" s="77">
        <f>63961-SUM(G41:J42)+85+100+590</f>
        <v>59671</v>
      </c>
    </row>
    <row r="42" spans="1:18" ht="8.25" customHeight="1">
      <c r="A42" s="56"/>
      <c r="B42" s="56"/>
      <c r="C42" s="74"/>
      <c r="D42" s="87"/>
      <c r="E42" s="91"/>
      <c r="F42" s="78"/>
      <c r="G42" s="78"/>
      <c r="H42" s="78"/>
      <c r="I42" s="89"/>
      <c r="J42" s="78"/>
      <c r="K42" s="78"/>
    </row>
    <row r="43" spans="1:18" ht="14.25" customHeight="1">
      <c r="A43" s="93" t="s">
        <v>13</v>
      </c>
      <c r="B43" s="93" t="s">
        <v>28</v>
      </c>
      <c r="C43" s="94" t="s">
        <v>61</v>
      </c>
      <c r="D43" s="52" t="s">
        <v>19</v>
      </c>
      <c r="E43" s="95" t="s">
        <v>32</v>
      </c>
      <c r="F43" s="97">
        <f>SUM(G43:K44)</f>
        <v>190212</v>
      </c>
      <c r="G43" s="97">
        <v>5178</v>
      </c>
      <c r="H43" s="97">
        <f>1728+173000+10306</f>
        <v>185034</v>
      </c>
      <c r="I43" s="97"/>
      <c r="J43" s="97"/>
      <c r="K43" s="97"/>
      <c r="R43" s="8"/>
    </row>
    <row r="44" spans="1:18" ht="14.25" customHeight="1">
      <c r="A44" s="93"/>
      <c r="B44" s="93"/>
      <c r="C44" s="94"/>
      <c r="D44" s="52" t="s">
        <v>10</v>
      </c>
      <c r="E44" s="96"/>
      <c r="F44" s="97"/>
      <c r="G44" s="97"/>
      <c r="H44" s="97"/>
      <c r="I44" s="97"/>
      <c r="J44" s="97"/>
      <c r="K44" s="97"/>
    </row>
    <row r="45" spans="1:18" ht="19.5" customHeight="1">
      <c r="A45" s="93" t="s">
        <v>4</v>
      </c>
      <c r="B45" s="93" t="s">
        <v>5</v>
      </c>
      <c r="C45" s="73" t="s">
        <v>111</v>
      </c>
      <c r="D45" s="52" t="s">
        <v>21</v>
      </c>
      <c r="E45" s="95" t="s">
        <v>32</v>
      </c>
      <c r="F45" s="77">
        <f>G45+H45+I45+J45+K45</f>
        <v>1123967</v>
      </c>
      <c r="G45" s="88">
        <v>40016</v>
      </c>
      <c r="H45" s="77">
        <f>302586-124010</f>
        <v>178576</v>
      </c>
      <c r="I45" s="81">
        <v>124010</v>
      </c>
      <c r="J45" s="77"/>
      <c r="K45" s="77">
        <v>781365</v>
      </c>
    </row>
    <row r="46" spans="1:18" ht="19.5" customHeight="1">
      <c r="A46" s="93"/>
      <c r="B46" s="93"/>
      <c r="C46" s="74"/>
      <c r="D46" s="59" t="s">
        <v>36</v>
      </c>
      <c r="E46" s="96"/>
      <c r="F46" s="85"/>
      <c r="G46" s="98"/>
      <c r="H46" s="85"/>
      <c r="I46" s="86"/>
      <c r="J46" s="85"/>
      <c r="K46" s="85"/>
    </row>
    <row r="47" spans="1:18" ht="15" customHeight="1">
      <c r="A47" s="99" t="s">
        <v>6</v>
      </c>
      <c r="B47" s="101">
        <v>60016</v>
      </c>
      <c r="C47" s="73" t="s">
        <v>71</v>
      </c>
      <c r="D47" s="52" t="s">
        <v>21</v>
      </c>
      <c r="E47" s="103" t="s">
        <v>32</v>
      </c>
      <c r="F47" s="105">
        <f>SUM(G47:K47)</f>
        <v>925002</v>
      </c>
      <c r="G47" s="107">
        <v>76162</v>
      </c>
      <c r="H47" s="77">
        <f>1033679-G47+483-108000-1160</f>
        <v>848840</v>
      </c>
      <c r="I47" s="81"/>
      <c r="J47" s="77"/>
      <c r="K47" s="77"/>
      <c r="R47" s="8"/>
    </row>
    <row r="48" spans="1:18" ht="15" customHeight="1">
      <c r="A48" s="100"/>
      <c r="B48" s="102"/>
      <c r="C48" s="74"/>
      <c r="D48" s="53" t="s">
        <v>10</v>
      </c>
      <c r="E48" s="104"/>
      <c r="F48" s="106"/>
      <c r="G48" s="108"/>
      <c r="H48" s="85"/>
      <c r="I48" s="86"/>
      <c r="J48" s="85"/>
      <c r="K48" s="85"/>
    </row>
    <row r="49" spans="1:11" ht="12.75" customHeight="1">
      <c r="A49" s="71" t="s">
        <v>6</v>
      </c>
      <c r="B49" s="71">
        <v>60016</v>
      </c>
      <c r="C49" s="73" t="s">
        <v>64</v>
      </c>
      <c r="D49" s="52" t="s">
        <v>21</v>
      </c>
      <c r="E49" s="75" t="s">
        <v>32</v>
      </c>
      <c r="F49" s="77"/>
      <c r="G49" s="77"/>
      <c r="H49" s="77"/>
      <c r="I49" s="79"/>
      <c r="J49" s="77"/>
      <c r="K49" s="81"/>
    </row>
    <row r="50" spans="1:11" ht="12.75" customHeight="1">
      <c r="A50" s="72"/>
      <c r="B50" s="72"/>
      <c r="C50" s="74"/>
      <c r="D50" s="83" t="s">
        <v>36</v>
      </c>
      <c r="E50" s="76"/>
      <c r="F50" s="78"/>
      <c r="G50" s="78"/>
      <c r="H50" s="78"/>
      <c r="I50" s="80"/>
      <c r="J50" s="78"/>
      <c r="K50" s="82"/>
    </row>
    <row r="51" spans="1:11" ht="12" customHeight="1">
      <c r="A51" s="72"/>
      <c r="B51" s="72"/>
      <c r="C51" s="90" t="s">
        <v>63</v>
      </c>
      <c r="D51" s="84"/>
      <c r="E51" s="76"/>
      <c r="F51" s="85">
        <f>SUM(G51:K51)</f>
        <v>612086</v>
      </c>
      <c r="G51" s="85">
        <v>24024</v>
      </c>
      <c r="H51" s="85">
        <f>600000-100000</f>
        <v>500000</v>
      </c>
      <c r="I51" s="92"/>
      <c r="J51" s="85"/>
      <c r="K51" s="86">
        <f>612086-G51-H51-I51-J51</f>
        <v>88062</v>
      </c>
    </row>
    <row r="52" spans="1:11" ht="12" customHeight="1">
      <c r="A52" s="72"/>
      <c r="B52" s="72"/>
      <c r="C52" s="74"/>
      <c r="D52" s="84"/>
      <c r="E52" s="76"/>
      <c r="F52" s="78"/>
      <c r="G52" s="78"/>
      <c r="H52" s="78"/>
      <c r="I52" s="80"/>
      <c r="J52" s="78"/>
      <c r="K52" s="82"/>
    </row>
    <row r="53" spans="1:11" ht="13.5" customHeight="1">
      <c r="A53" s="72"/>
      <c r="B53" s="72"/>
      <c r="C53" s="73" t="s">
        <v>65</v>
      </c>
      <c r="D53" s="84"/>
      <c r="E53" s="76"/>
      <c r="F53" s="85">
        <f>SUM(G53:K53)</f>
        <v>455086</v>
      </c>
      <c r="G53" s="85">
        <v>14500</v>
      </c>
      <c r="H53" s="85">
        <f>395000+5000</f>
        <v>400000</v>
      </c>
      <c r="I53" s="92"/>
      <c r="J53" s="85"/>
      <c r="K53" s="86">
        <f>455086-G53-H53-I53-J53</f>
        <v>40586</v>
      </c>
    </row>
    <row r="54" spans="1:11" ht="12" customHeight="1">
      <c r="A54" s="72"/>
      <c r="B54" s="72"/>
      <c r="C54" s="74"/>
      <c r="D54" s="84"/>
      <c r="E54" s="76"/>
      <c r="F54" s="78"/>
      <c r="G54" s="78"/>
      <c r="H54" s="78"/>
      <c r="I54" s="80"/>
      <c r="J54" s="78"/>
      <c r="K54" s="82"/>
    </row>
    <row r="55" spans="1:11" ht="12.75" customHeight="1">
      <c r="A55" s="72"/>
      <c r="B55" s="72"/>
      <c r="C55" s="73" t="s">
        <v>66</v>
      </c>
      <c r="D55" s="84"/>
      <c r="E55" s="76"/>
      <c r="F55" s="85">
        <f>SUM(G55:K55)</f>
        <v>455000</v>
      </c>
      <c r="G55" s="85"/>
      <c r="H55" s="85">
        <v>14500</v>
      </c>
      <c r="I55" s="92"/>
      <c r="J55" s="85"/>
      <c r="K55" s="86">
        <f>455000-J55-I55-H55-G55</f>
        <v>440500</v>
      </c>
    </row>
    <row r="56" spans="1:11" ht="12" customHeight="1">
      <c r="A56" s="109"/>
      <c r="B56" s="109"/>
      <c r="C56" s="74"/>
      <c r="D56" s="87"/>
      <c r="E56" s="91"/>
      <c r="F56" s="78"/>
      <c r="G56" s="78"/>
      <c r="H56" s="78"/>
      <c r="I56" s="80"/>
      <c r="J56" s="78"/>
      <c r="K56" s="82"/>
    </row>
    <row r="57" spans="1:11" ht="15" customHeight="1">
      <c r="A57" s="100" t="s">
        <v>6</v>
      </c>
      <c r="B57" s="102">
        <v>60016</v>
      </c>
      <c r="C57" s="73" t="s">
        <v>69</v>
      </c>
      <c r="D57" s="54" t="s">
        <v>21</v>
      </c>
      <c r="E57" s="112" t="s">
        <v>32</v>
      </c>
      <c r="F57" s="108">
        <f>SUM(G57:K57)</f>
        <v>76454</v>
      </c>
      <c r="G57" s="85">
        <f>10908/2</f>
        <v>5454</v>
      </c>
      <c r="H57" s="85">
        <f>100000-29000</f>
        <v>71000</v>
      </c>
      <c r="I57" s="86"/>
      <c r="J57" s="85"/>
      <c r="K57" s="85"/>
    </row>
    <row r="58" spans="1:11" ht="15" customHeight="1">
      <c r="A58" s="110"/>
      <c r="B58" s="111"/>
      <c r="C58" s="74"/>
      <c r="D58" s="54" t="s">
        <v>10</v>
      </c>
      <c r="E58" s="113"/>
      <c r="F58" s="114"/>
      <c r="G58" s="78"/>
      <c r="H58" s="78"/>
      <c r="I58" s="82"/>
      <c r="J58" s="78"/>
      <c r="K58" s="78"/>
    </row>
    <row r="59" spans="1:11" ht="15" customHeight="1">
      <c r="A59" s="100" t="s">
        <v>6</v>
      </c>
      <c r="B59" s="102">
        <v>60016</v>
      </c>
      <c r="C59" s="73" t="s">
        <v>102</v>
      </c>
      <c r="D59" s="54" t="s">
        <v>21</v>
      </c>
      <c r="E59" s="112" t="s">
        <v>32</v>
      </c>
      <c r="F59" s="108">
        <f>SUM(G59:K59)</f>
        <v>132786</v>
      </c>
      <c r="G59" s="85">
        <f>5850+732+124954</f>
        <v>131536</v>
      </c>
      <c r="H59" s="85">
        <v>1250</v>
      </c>
      <c r="I59" s="86"/>
      <c r="J59" s="85"/>
      <c r="K59" s="85"/>
    </row>
    <row r="60" spans="1:11" ht="15" customHeight="1">
      <c r="A60" s="110"/>
      <c r="B60" s="111"/>
      <c r="C60" s="74"/>
      <c r="D60" s="54" t="s">
        <v>10</v>
      </c>
      <c r="E60" s="113"/>
      <c r="F60" s="114"/>
      <c r="G60" s="78"/>
      <c r="H60" s="78"/>
      <c r="I60" s="82"/>
      <c r="J60" s="78"/>
      <c r="K60" s="78"/>
    </row>
    <row r="61" spans="1:11" ht="33" customHeight="1">
      <c r="A61" s="115" t="s">
        <v>11</v>
      </c>
      <c r="B61" s="117" t="s">
        <v>12</v>
      </c>
      <c r="C61" s="119" t="s">
        <v>88</v>
      </c>
      <c r="D61" s="52" t="s">
        <v>21</v>
      </c>
      <c r="E61" s="121" t="s">
        <v>30</v>
      </c>
      <c r="F61" s="105">
        <f>SUM(G61:K62)</f>
        <v>64842</v>
      </c>
      <c r="G61" s="88">
        <v>49898</v>
      </c>
      <c r="H61" s="77">
        <f>488+14456</f>
        <v>14944</v>
      </c>
      <c r="I61" s="124"/>
      <c r="J61" s="126"/>
      <c r="K61" s="126"/>
    </row>
    <row r="62" spans="1:11" ht="17.25" customHeight="1">
      <c r="A62" s="116"/>
      <c r="B62" s="118"/>
      <c r="C62" s="120"/>
      <c r="D62" s="54" t="s">
        <v>10</v>
      </c>
      <c r="E62" s="122"/>
      <c r="F62" s="123"/>
      <c r="G62" s="89"/>
      <c r="H62" s="78"/>
      <c r="I62" s="125"/>
      <c r="J62" s="127"/>
      <c r="K62" s="127"/>
    </row>
    <row r="63" spans="1:11" ht="15" customHeight="1">
      <c r="A63" s="115" t="s">
        <v>11</v>
      </c>
      <c r="B63" s="117" t="s">
        <v>12</v>
      </c>
      <c r="C63" s="128" t="s">
        <v>53</v>
      </c>
      <c r="D63" s="52" t="s">
        <v>21</v>
      </c>
      <c r="E63" s="112" t="s">
        <v>52</v>
      </c>
      <c r="F63" s="105">
        <f>SUM(G63:K64)</f>
        <v>15110</v>
      </c>
      <c r="G63" s="88">
        <v>2800</v>
      </c>
      <c r="H63" s="77">
        <f>10000+5000-2690</f>
        <v>12310</v>
      </c>
      <c r="I63" s="124"/>
      <c r="J63" s="126"/>
      <c r="K63" s="126"/>
    </row>
    <row r="64" spans="1:11" ht="15" customHeight="1">
      <c r="A64" s="116"/>
      <c r="B64" s="118"/>
      <c r="C64" s="129"/>
      <c r="D64" s="54" t="s">
        <v>10</v>
      </c>
      <c r="E64" s="113"/>
      <c r="F64" s="123"/>
      <c r="G64" s="89"/>
      <c r="H64" s="78"/>
      <c r="I64" s="125"/>
      <c r="J64" s="127"/>
      <c r="K64" s="127"/>
    </row>
    <row r="65" spans="1:18" ht="17.25" customHeight="1">
      <c r="A65" s="115" t="s">
        <v>11</v>
      </c>
      <c r="B65" s="117" t="s">
        <v>12</v>
      </c>
      <c r="C65" s="130" t="s">
        <v>46</v>
      </c>
      <c r="D65" s="14" t="s">
        <v>21</v>
      </c>
      <c r="E65" s="112" t="s">
        <v>52</v>
      </c>
      <c r="F65" s="105">
        <f>SUM(G65:K66)</f>
        <v>58600</v>
      </c>
      <c r="G65" s="88">
        <v>2000</v>
      </c>
      <c r="H65" s="77">
        <v>56600</v>
      </c>
      <c r="I65" s="124"/>
      <c r="J65" s="132"/>
      <c r="K65" s="97"/>
    </row>
    <row r="66" spans="1:18" ht="17.25" customHeight="1">
      <c r="A66" s="116"/>
      <c r="B66" s="118"/>
      <c r="C66" s="131"/>
      <c r="D66" s="58" t="s">
        <v>10</v>
      </c>
      <c r="E66" s="113"/>
      <c r="F66" s="123"/>
      <c r="G66" s="89"/>
      <c r="H66" s="78"/>
      <c r="I66" s="125"/>
      <c r="J66" s="133"/>
      <c r="K66" s="97"/>
      <c r="L66" s="1"/>
      <c r="M66" s="1"/>
      <c r="N66" s="1"/>
    </row>
    <row r="67" spans="1:18" ht="14.25" customHeight="1">
      <c r="A67" s="100" t="s">
        <v>11</v>
      </c>
      <c r="B67" s="102" t="s">
        <v>12</v>
      </c>
      <c r="C67" s="136" t="s">
        <v>108</v>
      </c>
      <c r="D67" s="54" t="s">
        <v>19</v>
      </c>
      <c r="E67" s="138" t="s">
        <v>32</v>
      </c>
      <c r="F67" s="106">
        <f>SUM(G67:K68)</f>
        <v>1729022</v>
      </c>
      <c r="G67" s="108">
        <f>9760+16895+854+2300+1000</f>
        <v>30809</v>
      </c>
      <c r="H67" s="108">
        <v>282377</v>
      </c>
      <c r="I67" s="108">
        <v>847130</v>
      </c>
      <c r="J67" s="108"/>
      <c r="K67" s="97">
        <f>1729022-G67-H67-I67-J67</f>
        <v>568706</v>
      </c>
      <c r="L67" s="141" t="s">
        <v>104</v>
      </c>
      <c r="M67" s="142"/>
      <c r="N67" s="142"/>
      <c r="O67" s="2" t="s">
        <v>105</v>
      </c>
    </row>
    <row r="68" spans="1:18" ht="15" customHeight="1">
      <c r="A68" s="134"/>
      <c r="B68" s="135"/>
      <c r="C68" s="137"/>
      <c r="D68" s="52" t="s">
        <v>36</v>
      </c>
      <c r="E68" s="139"/>
      <c r="F68" s="140"/>
      <c r="G68" s="114"/>
      <c r="H68" s="114"/>
      <c r="I68" s="114"/>
      <c r="J68" s="114"/>
      <c r="K68" s="97"/>
      <c r="L68" s="141"/>
      <c r="M68" s="142"/>
      <c r="N68" s="142"/>
    </row>
    <row r="69" spans="1:18" ht="18" customHeight="1">
      <c r="A69" s="143" t="s">
        <v>11</v>
      </c>
      <c r="B69" s="144" t="s">
        <v>103</v>
      </c>
      <c r="C69" s="145" t="s">
        <v>109</v>
      </c>
      <c r="D69" s="60" t="s">
        <v>19</v>
      </c>
      <c r="E69" s="146" t="s">
        <v>32</v>
      </c>
      <c r="F69" s="106">
        <f>SUM(G69:K70)</f>
        <v>816086</v>
      </c>
      <c r="G69" s="148">
        <f>7320+14943+854+2300+1000</f>
        <v>26417</v>
      </c>
      <c r="H69" s="148">
        <v>88476</v>
      </c>
      <c r="I69" s="148">
        <v>265426</v>
      </c>
      <c r="J69" s="148"/>
      <c r="K69" s="97">
        <f>816086-G69-H69-I69-J69</f>
        <v>435767</v>
      </c>
      <c r="L69" s="141"/>
      <c r="M69" s="142"/>
      <c r="N69" s="142"/>
    </row>
    <row r="70" spans="1:18" ht="18" customHeight="1">
      <c r="A70" s="100"/>
      <c r="B70" s="102"/>
      <c r="C70" s="90"/>
      <c r="D70" s="61" t="s">
        <v>36</v>
      </c>
      <c r="E70" s="147"/>
      <c r="F70" s="106"/>
      <c r="G70" s="108"/>
      <c r="H70" s="108"/>
      <c r="I70" s="108"/>
      <c r="J70" s="108"/>
      <c r="K70" s="77"/>
      <c r="L70" s="141"/>
      <c r="M70" s="142"/>
      <c r="N70" s="142"/>
    </row>
    <row r="71" spans="1:18" ht="18" customHeight="1">
      <c r="A71" s="115" t="s">
        <v>11</v>
      </c>
      <c r="B71" s="149" t="s">
        <v>17</v>
      </c>
      <c r="C71" s="151" t="s">
        <v>40</v>
      </c>
      <c r="D71" s="52" t="s">
        <v>18</v>
      </c>
      <c r="E71" s="153" t="s">
        <v>30</v>
      </c>
      <c r="F71" s="105">
        <f>SUM(G71:K72)</f>
        <v>2134634</v>
      </c>
      <c r="G71" s="155">
        <v>748841</v>
      </c>
      <c r="H71" s="77">
        <v>885793</v>
      </c>
      <c r="I71" s="124"/>
      <c r="J71" s="132">
        <v>300000</v>
      </c>
      <c r="K71" s="97">
        <f>2125000-J71-H71-G71-I71+9634</f>
        <v>200000</v>
      </c>
      <c r="L71" s="51"/>
      <c r="M71" s="51"/>
      <c r="N71" s="1"/>
    </row>
    <row r="72" spans="1:18" ht="18" customHeight="1">
      <c r="A72" s="116"/>
      <c r="B72" s="150"/>
      <c r="C72" s="152"/>
      <c r="D72" s="54" t="s">
        <v>36</v>
      </c>
      <c r="E72" s="154"/>
      <c r="F72" s="123"/>
      <c r="G72" s="156"/>
      <c r="H72" s="78"/>
      <c r="I72" s="125"/>
      <c r="J72" s="133"/>
      <c r="K72" s="97"/>
    </row>
    <row r="73" spans="1:18" ht="15.75" customHeight="1">
      <c r="A73" s="93" t="s">
        <v>13</v>
      </c>
      <c r="B73" s="93" t="s">
        <v>28</v>
      </c>
      <c r="C73" s="94" t="s">
        <v>41</v>
      </c>
      <c r="D73" s="52" t="s">
        <v>19</v>
      </c>
      <c r="E73" s="157" t="s">
        <v>32</v>
      </c>
      <c r="F73" s="97">
        <f>SUM(G73:K74)</f>
        <v>2540877</v>
      </c>
      <c r="G73" s="97">
        <f>20740+165249</f>
        <v>185989</v>
      </c>
      <c r="H73" s="97">
        <v>339166</v>
      </c>
      <c r="I73" s="97">
        <v>800877</v>
      </c>
      <c r="J73" s="97"/>
      <c r="K73" s="97">
        <f>2540877-H73-I73-J73-G73</f>
        <v>1214845</v>
      </c>
      <c r="N73" s="8"/>
      <c r="O73" s="108"/>
    </row>
    <row r="74" spans="1:18" ht="15.75" customHeight="1">
      <c r="A74" s="93"/>
      <c r="B74" s="93"/>
      <c r="C74" s="94"/>
      <c r="D74" s="52" t="s">
        <v>36</v>
      </c>
      <c r="E74" s="157"/>
      <c r="F74" s="97"/>
      <c r="G74" s="97"/>
      <c r="H74" s="97"/>
      <c r="I74" s="97"/>
      <c r="J74" s="97"/>
      <c r="K74" s="97"/>
      <c r="O74" s="114"/>
    </row>
    <row r="75" spans="1:18" ht="12.75" customHeight="1">
      <c r="A75" s="93" t="s">
        <v>13</v>
      </c>
      <c r="B75" s="93" t="s">
        <v>83</v>
      </c>
      <c r="C75" s="94" t="s">
        <v>87</v>
      </c>
      <c r="D75" s="57" t="s">
        <v>21</v>
      </c>
      <c r="E75" s="157" t="s">
        <v>32</v>
      </c>
      <c r="F75" s="97">
        <f>SUM(G75:K76)</f>
        <v>37480</v>
      </c>
      <c r="G75" s="97">
        <f>2928+14552</f>
        <v>17480</v>
      </c>
      <c r="H75" s="97">
        <f>70000-50000</f>
        <v>20000</v>
      </c>
      <c r="I75" s="97"/>
      <c r="J75" s="97"/>
      <c r="K75" s="97"/>
      <c r="O75" s="148"/>
    </row>
    <row r="76" spans="1:18" ht="12.75" customHeight="1">
      <c r="A76" s="93"/>
      <c r="B76" s="93"/>
      <c r="C76" s="94"/>
      <c r="D76" s="56" t="s">
        <v>10</v>
      </c>
      <c r="E76" s="157"/>
      <c r="F76" s="97"/>
      <c r="G76" s="97"/>
      <c r="H76" s="97"/>
      <c r="I76" s="97"/>
      <c r="J76" s="97"/>
      <c r="K76" s="97"/>
      <c r="O76" s="114"/>
    </row>
    <row r="77" spans="1:18" ht="15.75" customHeight="1">
      <c r="A77" s="99" t="s">
        <v>13</v>
      </c>
      <c r="B77" s="101" t="s">
        <v>20</v>
      </c>
      <c r="C77" s="158" t="s">
        <v>47</v>
      </c>
      <c r="D77" s="52" t="s">
        <v>19</v>
      </c>
      <c r="E77" s="103" t="s">
        <v>32</v>
      </c>
      <c r="F77" s="105">
        <f>SUM(G77:K78)</f>
        <v>212621</v>
      </c>
      <c r="G77" s="105">
        <f>55621+100000</f>
        <v>155621</v>
      </c>
      <c r="H77" s="161">
        <f>40000+17000</f>
        <v>57000</v>
      </c>
      <c r="I77" s="163"/>
      <c r="J77" s="165"/>
      <c r="K77" s="77"/>
    </row>
    <row r="78" spans="1:18" ht="15.75" customHeight="1">
      <c r="A78" s="110"/>
      <c r="B78" s="111"/>
      <c r="C78" s="159"/>
      <c r="D78" s="54" t="s">
        <v>10</v>
      </c>
      <c r="E78" s="160"/>
      <c r="F78" s="123"/>
      <c r="G78" s="123"/>
      <c r="H78" s="162"/>
      <c r="I78" s="164"/>
      <c r="J78" s="166"/>
      <c r="K78" s="78"/>
    </row>
    <row r="79" spans="1:18" ht="13.5" customHeight="1">
      <c r="A79" s="100" t="s">
        <v>13</v>
      </c>
      <c r="B79" s="102" t="s">
        <v>20</v>
      </c>
      <c r="C79" s="158" t="s">
        <v>62</v>
      </c>
      <c r="D79" s="52" t="s">
        <v>21</v>
      </c>
      <c r="E79" s="167" t="s">
        <v>32</v>
      </c>
      <c r="F79" s="106">
        <f>SUM(G79:K80)</f>
        <v>65291</v>
      </c>
      <c r="G79" s="108">
        <v>6487</v>
      </c>
      <c r="H79" s="169">
        <f>80000-21196</f>
        <v>58804</v>
      </c>
      <c r="I79" s="170"/>
      <c r="J79" s="171"/>
      <c r="K79" s="85"/>
      <c r="R79" s="8"/>
    </row>
    <row r="80" spans="1:18" ht="13.5" customHeight="1">
      <c r="A80" s="110"/>
      <c r="B80" s="111"/>
      <c r="C80" s="159"/>
      <c r="D80" s="54" t="s">
        <v>10</v>
      </c>
      <c r="E80" s="113"/>
      <c r="F80" s="123"/>
      <c r="G80" s="168"/>
      <c r="H80" s="162"/>
      <c r="I80" s="164"/>
      <c r="J80" s="166"/>
      <c r="K80" s="78"/>
    </row>
    <row r="81" spans="1:19" ht="14.25" customHeight="1">
      <c r="A81" s="99" t="s">
        <v>13</v>
      </c>
      <c r="B81" s="101" t="s">
        <v>33</v>
      </c>
      <c r="C81" s="158" t="s">
        <v>68</v>
      </c>
      <c r="D81" s="52" t="s">
        <v>21</v>
      </c>
      <c r="E81" s="103" t="s">
        <v>32</v>
      </c>
      <c r="F81" s="105">
        <f>SUM(G81:K82)</f>
        <v>453081</v>
      </c>
      <c r="G81" s="105">
        <v>25014</v>
      </c>
      <c r="H81" s="161">
        <v>144624</v>
      </c>
      <c r="I81" s="81">
        <v>283443</v>
      </c>
      <c r="J81" s="172"/>
      <c r="K81" s="77"/>
    </row>
    <row r="82" spans="1:19" ht="14.25" customHeight="1">
      <c r="A82" s="110"/>
      <c r="B82" s="111"/>
      <c r="C82" s="159"/>
      <c r="D82" s="54" t="s">
        <v>10</v>
      </c>
      <c r="E82" s="160"/>
      <c r="F82" s="123"/>
      <c r="G82" s="123"/>
      <c r="H82" s="162"/>
      <c r="I82" s="82"/>
      <c r="J82" s="173"/>
      <c r="K82" s="78"/>
    </row>
    <row r="83" spans="1:19" ht="14.25" customHeight="1">
      <c r="A83" s="71" t="s">
        <v>34</v>
      </c>
      <c r="B83" s="71" t="s">
        <v>35</v>
      </c>
      <c r="C83" s="73" t="s">
        <v>42</v>
      </c>
      <c r="D83" s="52" t="s">
        <v>21</v>
      </c>
      <c r="E83" s="103" t="s">
        <v>32</v>
      </c>
      <c r="F83" s="107">
        <f>SUM(G83:K84)</f>
        <v>30976</v>
      </c>
      <c r="G83" s="77">
        <v>976</v>
      </c>
      <c r="H83" s="81">
        <f>75000-45000</f>
        <v>30000</v>
      </c>
      <c r="I83" s="174"/>
      <c r="J83" s="176"/>
      <c r="K83" s="77"/>
    </row>
    <row r="84" spans="1:19" ht="14.25" customHeight="1">
      <c r="A84" s="109"/>
      <c r="B84" s="109"/>
      <c r="C84" s="74"/>
      <c r="D84" s="54" t="s">
        <v>10</v>
      </c>
      <c r="E84" s="160"/>
      <c r="F84" s="168"/>
      <c r="G84" s="78"/>
      <c r="H84" s="82"/>
      <c r="I84" s="175"/>
      <c r="J84" s="177"/>
      <c r="K84" s="78"/>
    </row>
    <row r="85" spans="1:19" ht="14.25" customHeight="1">
      <c r="A85" s="100" t="s">
        <v>34</v>
      </c>
      <c r="B85" s="102" t="s">
        <v>35</v>
      </c>
      <c r="C85" s="158" t="s">
        <v>70</v>
      </c>
      <c r="D85" s="54" t="s">
        <v>21</v>
      </c>
      <c r="E85" s="104" t="s">
        <v>32</v>
      </c>
      <c r="F85" s="106">
        <f>SUM(G85:K86)</f>
        <v>104700</v>
      </c>
      <c r="G85" s="105">
        <v>4500</v>
      </c>
      <c r="H85" s="161">
        <f>200+100000</f>
        <v>100200</v>
      </c>
      <c r="I85" s="174"/>
      <c r="J85" s="172"/>
      <c r="K85" s="161"/>
    </row>
    <row r="86" spans="1:19" ht="14.25" customHeight="1">
      <c r="A86" s="110"/>
      <c r="B86" s="111"/>
      <c r="C86" s="159"/>
      <c r="D86" s="54" t="s">
        <v>10</v>
      </c>
      <c r="E86" s="160"/>
      <c r="F86" s="123"/>
      <c r="G86" s="140"/>
      <c r="H86" s="162"/>
      <c r="I86" s="175"/>
      <c r="J86" s="173"/>
      <c r="K86" s="162"/>
    </row>
    <row r="87" spans="1:19" ht="14.25" customHeight="1">
      <c r="A87" s="99" t="s">
        <v>34</v>
      </c>
      <c r="B87" s="101" t="s">
        <v>35</v>
      </c>
      <c r="C87" s="158" t="s">
        <v>72</v>
      </c>
      <c r="D87" s="52" t="s">
        <v>21</v>
      </c>
      <c r="E87" s="103" t="s">
        <v>32</v>
      </c>
      <c r="F87" s="105">
        <f>SUM(G87:K88)</f>
        <v>83249</v>
      </c>
      <c r="G87" s="178">
        <v>4500</v>
      </c>
      <c r="H87" s="161">
        <f>100000-21251</f>
        <v>78749</v>
      </c>
      <c r="I87" s="174"/>
      <c r="J87" s="172"/>
      <c r="K87" s="77"/>
    </row>
    <row r="88" spans="1:19" ht="14.25" customHeight="1">
      <c r="A88" s="110"/>
      <c r="B88" s="111"/>
      <c r="C88" s="159"/>
      <c r="D88" s="54" t="s">
        <v>10</v>
      </c>
      <c r="E88" s="160"/>
      <c r="F88" s="123"/>
      <c r="G88" s="123"/>
      <c r="H88" s="162"/>
      <c r="I88" s="175"/>
      <c r="J88" s="173"/>
      <c r="K88" s="78"/>
    </row>
    <row r="89" spans="1:19" s="6" customFormat="1" ht="19.5" customHeight="1">
      <c r="A89" s="18"/>
      <c r="B89" s="19"/>
      <c r="C89" s="20" t="s">
        <v>26</v>
      </c>
      <c r="D89" s="15"/>
      <c r="E89" s="21"/>
      <c r="F89" s="17">
        <f>SUM(F90:F137)</f>
        <v>13622022</v>
      </c>
      <c r="G89" s="17">
        <f t="shared" ref="G89:K89" si="1">SUM(G90:G137)</f>
        <v>30000</v>
      </c>
      <c r="H89" s="17">
        <f t="shared" si="1"/>
        <v>487040</v>
      </c>
      <c r="I89" s="17">
        <f t="shared" si="1"/>
        <v>0</v>
      </c>
      <c r="J89" s="17">
        <f t="shared" si="1"/>
        <v>0</v>
      </c>
      <c r="K89" s="17">
        <f t="shared" si="1"/>
        <v>13104982</v>
      </c>
    </row>
    <row r="90" spans="1:19" ht="12.75" customHeight="1">
      <c r="A90" s="71" t="s">
        <v>4</v>
      </c>
      <c r="B90" s="71" t="s">
        <v>39</v>
      </c>
      <c r="C90" s="73" t="s">
        <v>107</v>
      </c>
      <c r="D90" s="83" t="s">
        <v>10</v>
      </c>
      <c r="E90" s="75" t="s">
        <v>32</v>
      </c>
      <c r="F90" s="77"/>
      <c r="G90" s="77"/>
      <c r="H90" s="77"/>
      <c r="I90" s="79"/>
      <c r="J90" s="77"/>
      <c r="K90" s="81"/>
    </row>
    <row r="91" spans="1:19" ht="10.5" customHeight="1">
      <c r="A91" s="72"/>
      <c r="B91" s="72"/>
      <c r="C91" s="74"/>
      <c r="D91" s="84"/>
      <c r="E91" s="76"/>
      <c r="F91" s="78"/>
      <c r="G91" s="78"/>
      <c r="H91" s="78"/>
      <c r="I91" s="80"/>
      <c r="J91" s="78"/>
      <c r="K91" s="82"/>
    </row>
    <row r="92" spans="1:19" ht="9.75" customHeight="1">
      <c r="A92" s="72"/>
      <c r="B92" s="72"/>
      <c r="C92" s="179" t="s">
        <v>48</v>
      </c>
      <c r="D92" s="84"/>
      <c r="E92" s="76"/>
      <c r="F92" s="85">
        <f>SUM(G92:K92)</f>
        <v>7831</v>
      </c>
      <c r="G92" s="85"/>
      <c r="H92" s="85">
        <f>20000-12169</f>
        <v>7831</v>
      </c>
      <c r="I92" s="92"/>
      <c r="J92" s="85"/>
      <c r="K92" s="86"/>
      <c r="S92" s="8"/>
    </row>
    <row r="93" spans="1:19" ht="9.75" customHeight="1">
      <c r="A93" s="72"/>
      <c r="B93" s="72"/>
      <c r="C93" s="180"/>
      <c r="D93" s="84"/>
      <c r="E93" s="76"/>
      <c r="F93" s="78"/>
      <c r="G93" s="78"/>
      <c r="H93" s="78"/>
      <c r="I93" s="80"/>
      <c r="J93" s="78"/>
      <c r="K93" s="82"/>
      <c r="S93" s="8"/>
    </row>
    <row r="94" spans="1:19" ht="9.75" customHeight="1">
      <c r="A94" s="72"/>
      <c r="B94" s="72"/>
      <c r="C94" s="179" t="s">
        <v>74</v>
      </c>
      <c r="D94" s="84"/>
      <c r="E94" s="76"/>
      <c r="F94" s="85">
        <f>SUM(G94:K94)</f>
        <v>9112</v>
      </c>
      <c r="G94" s="85"/>
      <c r="H94" s="85">
        <f>20000-10888</f>
        <v>9112</v>
      </c>
      <c r="I94" s="92"/>
      <c r="J94" s="85"/>
      <c r="K94" s="86"/>
      <c r="S94" s="8"/>
    </row>
    <row r="95" spans="1:19" ht="9.75" customHeight="1">
      <c r="A95" s="72"/>
      <c r="B95" s="72"/>
      <c r="C95" s="180"/>
      <c r="D95" s="84"/>
      <c r="E95" s="76"/>
      <c r="F95" s="78"/>
      <c r="G95" s="78"/>
      <c r="H95" s="78"/>
      <c r="I95" s="80"/>
      <c r="J95" s="78"/>
      <c r="K95" s="82"/>
      <c r="S95" s="8"/>
    </row>
    <row r="96" spans="1:19" ht="9.75" customHeight="1">
      <c r="A96" s="72"/>
      <c r="B96" s="72"/>
      <c r="C96" s="179" t="s">
        <v>75</v>
      </c>
      <c r="D96" s="84"/>
      <c r="E96" s="76"/>
      <c r="F96" s="85">
        <f>SUM(G96:K96)</f>
        <v>4883</v>
      </c>
      <c r="G96" s="85"/>
      <c r="H96" s="85">
        <f>20000-15117</f>
        <v>4883</v>
      </c>
      <c r="I96" s="92"/>
      <c r="J96" s="85"/>
      <c r="K96" s="86"/>
      <c r="S96" s="8"/>
    </row>
    <row r="97" spans="1:19" ht="9.75" customHeight="1">
      <c r="A97" s="72"/>
      <c r="B97" s="72"/>
      <c r="C97" s="180"/>
      <c r="D97" s="87"/>
      <c r="E97" s="76"/>
      <c r="F97" s="78"/>
      <c r="G97" s="78"/>
      <c r="H97" s="78"/>
      <c r="I97" s="80"/>
      <c r="J97" s="78"/>
      <c r="K97" s="82"/>
      <c r="S97" s="8"/>
    </row>
    <row r="98" spans="1:19" ht="11.25" customHeight="1">
      <c r="A98" s="71" t="s">
        <v>4</v>
      </c>
      <c r="B98" s="71" t="s">
        <v>39</v>
      </c>
      <c r="C98" s="179" t="s">
        <v>121</v>
      </c>
      <c r="D98" s="71" t="s">
        <v>10</v>
      </c>
      <c r="E98" s="95" t="s">
        <v>32</v>
      </c>
      <c r="F98" s="77">
        <f>SUM(G98:K98)</f>
        <v>58218</v>
      </c>
      <c r="G98" s="77"/>
      <c r="H98" s="77">
        <f>23000+35218</f>
        <v>58218</v>
      </c>
      <c r="I98" s="79"/>
      <c r="J98" s="77"/>
      <c r="K98" s="81"/>
    </row>
    <row r="99" spans="1:19" ht="11.25" customHeight="1">
      <c r="A99" s="109"/>
      <c r="B99" s="109"/>
      <c r="C99" s="180"/>
      <c r="D99" s="109"/>
      <c r="E99" s="96"/>
      <c r="F99" s="78"/>
      <c r="G99" s="78"/>
      <c r="H99" s="78"/>
      <c r="I99" s="80"/>
      <c r="J99" s="78"/>
      <c r="K99" s="82"/>
    </row>
    <row r="100" spans="1:19" ht="12.75" customHeight="1">
      <c r="A100" s="93" t="s">
        <v>6</v>
      </c>
      <c r="B100" s="93" t="s">
        <v>115</v>
      </c>
      <c r="C100" s="73" t="s">
        <v>116</v>
      </c>
      <c r="D100" s="57" t="s">
        <v>10</v>
      </c>
      <c r="E100" s="157" t="s">
        <v>32</v>
      </c>
      <c r="F100" s="105">
        <f>SUM(G100:K100)</f>
        <v>4035000</v>
      </c>
      <c r="G100" s="77">
        <v>30000</v>
      </c>
      <c r="H100" s="77">
        <v>5000</v>
      </c>
      <c r="I100" s="81"/>
      <c r="J100" s="176"/>
      <c r="K100" s="176">
        <f>4035000-SUM(G100:J101)</f>
        <v>4000000</v>
      </c>
    </row>
    <row r="101" spans="1:19" ht="12.75" customHeight="1">
      <c r="A101" s="93"/>
      <c r="B101" s="93"/>
      <c r="C101" s="74"/>
      <c r="D101" s="56" t="s">
        <v>36</v>
      </c>
      <c r="E101" s="157"/>
      <c r="F101" s="123"/>
      <c r="G101" s="78"/>
      <c r="H101" s="78"/>
      <c r="I101" s="82"/>
      <c r="J101" s="177"/>
      <c r="K101" s="177"/>
    </row>
    <row r="102" spans="1:19" ht="17.25" customHeight="1">
      <c r="A102" s="93" t="s">
        <v>6</v>
      </c>
      <c r="B102" s="93" t="s">
        <v>7</v>
      </c>
      <c r="C102" s="73" t="s">
        <v>57</v>
      </c>
      <c r="D102" s="71" t="s">
        <v>10</v>
      </c>
      <c r="E102" s="157" t="s">
        <v>32</v>
      </c>
      <c r="F102" s="105">
        <f>SUM(G102:K102)</f>
        <v>5000</v>
      </c>
      <c r="G102" s="77"/>
      <c r="H102" s="77">
        <f>10000-5000</f>
        <v>5000</v>
      </c>
      <c r="I102" s="81"/>
      <c r="J102" s="176"/>
      <c r="K102" s="176"/>
    </row>
    <row r="103" spans="1:19" ht="17.25" customHeight="1">
      <c r="A103" s="93"/>
      <c r="B103" s="93"/>
      <c r="C103" s="74"/>
      <c r="D103" s="109"/>
      <c r="E103" s="157"/>
      <c r="F103" s="123"/>
      <c r="G103" s="78"/>
      <c r="H103" s="78"/>
      <c r="I103" s="82"/>
      <c r="J103" s="177"/>
      <c r="K103" s="177"/>
    </row>
    <row r="104" spans="1:19" ht="14.25" customHeight="1">
      <c r="A104" s="93" t="s">
        <v>6</v>
      </c>
      <c r="B104" s="93" t="s">
        <v>7</v>
      </c>
      <c r="C104" s="73" t="s">
        <v>58</v>
      </c>
      <c r="D104" s="71" t="s">
        <v>10</v>
      </c>
      <c r="E104" s="157" t="s">
        <v>32</v>
      </c>
      <c r="F104" s="105">
        <f>SUM(G104:K104)</f>
        <v>46000</v>
      </c>
      <c r="G104" s="176"/>
      <c r="H104" s="77">
        <f>26000+20000</f>
        <v>46000</v>
      </c>
      <c r="I104" s="174"/>
      <c r="J104" s="176"/>
      <c r="K104" s="176"/>
    </row>
    <row r="105" spans="1:19" ht="12.75" customHeight="1">
      <c r="A105" s="93"/>
      <c r="B105" s="93"/>
      <c r="C105" s="74"/>
      <c r="D105" s="109"/>
      <c r="E105" s="157"/>
      <c r="F105" s="123"/>
      <c r="G105" s="177"/>
      <c r="H105" s="78"/>
      <c r="I105" s="175"/>
      <c r="J105" s="177"/>
      <c r="K105" s="177"/>
    </row>
    <row r="106" spans="1:19" ht="14.25" customHeight="1">
      <c r="A106" s="115" t="s">
        <v>6</v>
      </c>
      <c r="B106" s="117" t="s">
        <v>7</v>
      </c>
      <c r="C106" s="130" t="s">
        <v>73</v>
      </c>
      <c r="D106" s="181" t="s">
        <v>10</v>
      </c>
      <c r="E106" s="112" t="s">
        <v>32</v>
      </c>
      <c r="F106" s="105">
        <f>SUM(G106:K107)</f>
        <v>20000</v>
      </c>
      <c r="G106" s="88"/>
      <c r="H106" s="77">
        <f>10000+10000</f>
        <v>20000</v>
      </c>
      <c r="I106" s="124"/>
      <c r="J106" s="126"/>
      <c r="K106" s="126"/>
    </row>
    <row r="107" spans="1:19" ht="14.25" customHeight="1">
      <c r="A107" s="116"/>
      <c r="B107" s="118"/>
      <c r="C107" s="131"/>
      <c r="D107" s="182"/>
      <c r="E107" s="113"/>
      <c r="F107" s="123"/>
      <c r="G107" s="89"/>
      <c r="H107" s="78"/>
      <c r="I107" s="125"/>
      <c r="J107" s="127"/>
      <c r="K107" s="127"/>
    </row>
    <row r="108" spans="1:19" ht="12" customHeight="1">
      <c r="A108" s="93" t="s">
        <v>6</v>
      </c>
      <c r="B108" s="93" t="s">
        <v>7</v>
      </c>
      <c r="C108" s="94" t="s">
        <v>51</v>
      </c>
      <c r="D108" s="93" t="s">
        <v>10</v>
      </c>
      <c r="E108" s="157" t="s">
        <v>32</v>
      </c>
      <c r="F108" s="97">
        <f>SUM(G108:K108)</f>
        <v>55134</v>
      </c>
      <c r="G108" s="183"/>
      <c r="H108" s="97">
        <f>30000+18800+6334</f>
        <v>55134</v>
      </c>
      <c r="I108" s="183"/>
      <c r="J108" s="183"/>
      <c r="K108" s="183"/>
    </row>
    <row r="109" spans="1:19" ht="12" customHeight="1">
      <c r="A109" s="93"/>
      <c r="B109" s="93"/>
      <c r="C109" s="94"/>
      <c r="D109" s="93"/>
      <c r="E109" s="157"/>
      <c r="F109" s="97"/>
      <c r="G109" s="183"/>
      <c r="H109" s="97"/>
      <c r="I109" s="183"/>
      <c r="J109" s="183"/>
      <c r="K109" s="183"/>
    </row>
    <row r="110" spans="1:19" ht="12" customHeight="1">
      <c r="A110" s="93" t="s">
        <v>6</v>
      </c>
      <c r="B110" s="93" t="s">
        <v>7</v>
      </c>
      <c r="C110" s="94" t="s">
        <v>112</v>
      </c>
      <c r="D110" s="93" t="s">
        <v>10</v>
      </c>
      <c r="E110" s="157" t="s">
        <v>32</v>
      </c>
      <c r="F110" s="97">
        <f>SUM(G110:K110)</f>
        <v>45999</v>
      </c>
      <c r="G110" s="183"/>
      <c r="H110" s="97">
        <f>35000+10999</f>
        <v>45999</v>
      </c>
      <c r="I110" s="183"/>
      <c r="J110" s="183"/>
      <c r="K110" s="183"/>
    </row>
    <row r="111" spans="1:19" ht="12" customHeight="1">
      <c r="A111" s="93"/>
      <c r="B111" s="93"/>
      <c r="C111" s="94"/>
      <c r="D111" s="93"/>
      <c r="E111" s="157"/>
      <c r="F111" s="97"/>
      <c r="G111" s="183"/>
      <c r="H111" s="97"/>
      <c r="I111" s="183"/>
      <c r="J111" s="183"/>
      <c r="K111" s="183"/>
    </row>
    <row r="112" spans="1:19" ht="12" customHeight="1">
      <c r="A112" s="93" t="s">
        <v>6</v>
      </c>
      <c r="B112" s="93" t="s">
        <v>7</v>
      </c>
      <c r="C112" s="94" t="s">
        <v>55</v>
      </c>
      <c r="D112" s="93" t="s">
        <v>10</v>
      </c>
      <c r="E112" s="157" t="s">
        <v>32</v>
      </c>
      <c r="F112" s="97">
        <f>SUM(G112:K112)</f>
        <v>20000</v>
      </c>
      <c r="G112" s="183"/>
      <c r="H112" s="97">
        <f>10000+10000</f>
        <v>20000</v>
      </c>
      <c r="I112" s="183"/>
      <c r="J112" s="183"/>
      <c r="K112" s="183"/>
    </row>
    <row r="113" spans="1:19" ht="12" customHeight="1">
      <c r="A113" s="93"/>
      <c r="B113" s="93"/>
      <c r="C113" s="94"/>
      <c r="D113" s="93"/>
      <c r="E113" s="157"/>
      <c r="F113" s="97"/>
      <c r="G113" s="183"/>
      <c r="H113" s="97"/>
      <c r="I113" s="183"/>
      <c r="J113" s="183"/>
      <c r="K113" s="183"/>
    </row>
    <row r="114" spans="1:19" ht="12" customHeight="1">
      <c r="A114" s="93" t="s">
        <v>6</v>
      </c>
      <c r="B114" s="93" t="s">
        <v>7</v>
      </c>
      <c r="C114" s="94" t="s">
        <v>123</v>
      </c>
      <c r="D114" s="93" t="s">
        <v>10</v>
      </c>
      <c r="E114" s="157" t="s">
        <v>32</v>
      </c>
      <c r="F114" s="97">
        <f>SUM(G114:K114)</f>
        <v>9000</v>
      </c>
      <c r="G114" s="183"/>
      <c r="H114" s="97">
        <v>9000</v>
      </c>
      <c r="I114" s="183"/>
      <c r="J114" s="183"/>
      <c r="K114" s="183"/>
    </row>
    <row r="115" spans="1:19" ht="12" customHeight="1">
      <c r="A115" s="93"/>
      <c r="B115" s="93"/>
      <c r="C115" s="94"/>
      <c r="D115" s="93"/>
      <c r="E115" s="157"/>
      <c r="F115" s="97"/>
      <c r="G115" s="183"/>
      <c r="H115" s="97"/>
      <c r="I115" s="183"/>
      <c r="J115" s="183"/>
      <c r="K115" s="183"/>
    </row>
    <row r="116" spans="1:19" ht="21" customHeight="1">
      <c r="A116" s="115" t="s">
        <v>8</v>
      </c>
      <c r="B116" s="117" t="s">
        <v>29</v>
      </c>
      <c r="C116" s="128" t="s">
        <v>45</v>
      </c>
      <c r="D116" s="71" t="s">
        <v>10</v>
      </c>
      <c r="E116" s="112" t="s">
        <v>32</v>
      </c>
      <c r="F116" s="105">
        <f>SUM(G116:K117)</f>
        <v>36600</v>
      </c>
      <c r="G116" s="88"/>
      <c r="H116" s="77">
        <f>5000+30000+1600</f>
        <v>36600</v>
      </c>
      <c r="I116" s="124"/>
      <c r="J116" s="126"/>
      <c r="K116" s="126"/>
    </row>
    <row r="117" spans="1:19" ht="21" customHeight="1">
      <c r="A117" s="116"/>
      <c r="B117" s="118"/>
      <c r="C117" s="129"/>
      <c r="D117" s="109"/>
      <c r="E117" s="113"/>
      <c r="F117" s="123"/>
      <c r="G117" s="89"/>
      <c r="H117" s="78"/>
      <c r="I117" s="125"/>
      <c r="J117" s="127"/>
      <c r="K117" s="127"/>
    </row>
    <row r="118" spans="1:19" ht="19.5" customHeight="1">
      <c r="A118" s="115" t="s">
        <v>9</v>
      </c>
      <c r="B118" s="117" t="s">
        <v>82</v>
      </c>
      <c r="C118" s="128" t="s">
        <v>86</v>
      </c>
      <c r="D118" s="57" t="s">
        <v>10</v>
      </c>
      <c r="E118" s="112" t="s">
        <v>32</v>
      </c>
      <c r="F118" s="105">
        <f>SUM(G118:K119)</f>
        <v>618322</v>
      </c>
      <c r="G118" s="88"/>
      <c r="H118" s="77">
        <v>30000</v>
      </c>
      <c r="I118" s="124"/>
      <c r="J118" s="126"/>
      <c r="K118" s="126">
        <f>ROUND(145265.3943*4.2565,0)-SUM(G118:J119)</f>
        <v>588322</v>
      </c>
    </row>
    <row r="119" spans="1:19" ht="19.5" customHeight="1">
      <c r="A119" s="116"/>
      <c r="B119" s="118"/>
      <c r="C119" s="129"/>
      <c r="D119" s="56" t="s">
        <v>36</v>
      </c>
      <c r="E119" s="113"/>
      <c r="F119" s="123"/>
      <c r="G119" s="89"/>
      <c r="H119" s="78"/>
      <c r="I119" s="125"/>
      <c r="J119" s="127"/>
      <c r="K119" s="127"/>
    </row>
    <row r="120" spans="1:19" ht="23.25" customHeight="1">
      <c r="A120" s="115" t="s">
        <v>113</v>
      </c>
      <c r="B120" s="149" t="s">
        <v>114</v>
      </c>
      <c r="C120" s="128" t="s">
        <v>118</v>
      </c>
      <c r="D120" s="52" t="s">
        <v>10</v>
      </c>
      <c r="E120" s="153" t="s">
        <v>32</v>
      </c>
      <c r="F120" s="178">
        <f>SUM(G120:K121)</f>
        <v>8148160</v>
      </c>
      <c r="G120" s="155"/>
      <c r="H120" s="77">
        <v>1000</v>
      </c>
      <c r="I120" s="124"/>
      <c r="J120" s="186"/>
      <c r="K120" s="126">
        <f>8147160+1000-SUM(G120:J121)</f>
        <v>8147160</v>
      </c>
      <c r="S120" s="8"/>
    </row>
    <row r="121" spans="1:19" ht="23.25" customHeight="1">
      <c r="A121" s="116"/>
      <c r="B121" s="150"/>
      <c r="C121" s="129"/>
      <c r="D121" s="54" t="s">
        <v>78</v>
      </c>
      <c r="E121" s="154"/>
      <c r="F121" s="140"/>
      <c r="G121" s="156"/>
      <c r="H121" s="185"/>
      <c r="I121" s="125"/>
      <c r="J121" s="187"/>
      <c r="K121" s="127"/>
    </row>
    <row r="122" spans="1:19" ht="12" customHeight="1">
      <c r="A122" s="93" t="s">
        <v>79</v>
      </c>
      <c r="B122" s="93" t="s">
        <v>80</v>
      </c>
      <c r="C122" s="184" t="s">
        <v>81</v>
      </c>
      <c r="D122" s="93" t="s">
        <v>10</v>
      </c>
      <c r="E122" s="157" t="s">
        <v>32</v>
      </c>
      <c r="F122" s="97">
        <f>SUM(G122:K123)</f>
        <v>10000</v>
      </c>
      <c r="G122" s="97"/>
      <c r="H122" s="97">
        <v>10000</v>
      </c>
      <c r="I122" s="97"/>
      <c r="J122" s="97"/>
      <c r="K122" s="97"/>
    </row>
    <row r="123" spans="1:19" ht="12" customHeight="1">
      <c r="A123" s="93"/>
      <c r="B123" s="93"/>
      <c r="C123" s="184"/>
      <c r="D123" s="93"/>
      <c r="E123" s="157"/>
      <c r="F123" s="97"/>
      <c r="G123" s="97"/>
      <c r="H123" s="97"/>
      <c r="I123" s="97"/>
      <c r="J123" s="97"/>
      <c r="K123" s="97"/>
    </row>
    <row r="124" spans="1:19" ht="12" customHeight="1">
      <c r="A124" s="115" t="s">
        <v>11</v>
      </c>
      <c r="B124" s="117" t="s">
        <v>12</v>
      </c>
      <c r="C124" s="128" t="s">
        <v>59</v>
      </c>
      <c r="D124" s="71" t="s">
        <v>10</v>
      </c>
      <c r="E124" s="112" t="s">
        <v>60</v>
      </c>
      <c r="F124" s="105">
        <f>SUM(G124:K125)</f>
        <v>4800</v>
      </c>
      <c r="G124" s="88"/>
      <c r="H124" s="77">
        <f>20000-10000-5200</f>
        <v>4800</v>
      </c>
      <c r="I124" s="124"/>
      <c r="J124" s="126"/>
      <c r="K124" s="126"/>
    </row>
    <row r="125" spans="1:19" ht="12" customHeight="1">
      <c r="A125" s="116"/>
      <c r="B125" s="118"/>
      <c r="C125" s="129"/>
      <c r="D125" s="109"/>
      <c r="E125" s="113"/>
      <c r="F125" s="123"/>
      <c r="G125" s="89"/>
      <c r="H125" s="78"/>
      <c r="I125" s="125"/>
      <c r="J125" s="127"/>
      <c r="K125" s="127"/>
    </row>
    <row r="126" spans="1:19" ht="18.75" customHeight="1">
      <c r="A126" s="115" t="s">
        <v>11</v>
      </c>
      <c r="B126" s="117" t="s">
        <v>12</v>
      </c>
      <c r="C126" s="128" t="s">
        <v>106</v>
      </c>
      <c r="D126" s="71" t="s">
        <v>10</v>
      </c>
      <c r="E126" s="112" t="s">
        <v>120</v>
      </c>
      <c r="F126" s="105">
        <f>SUM(G126:K127)</f>
        <v>40000</v>
      </c>
      <c r="G126" s="88"/>
      <c r="H126" s="77">
        <v>40000</v>
      </c>
      <c r="I126" s="124"/>
      <c r="J126" s="126"/>
      <c r="K126" s="126"/>
    </row>
    <row r="127" spans="1:19" ht="18.75" customHeight="1">
      <c r="A127" s="116"/>
      <c r="B127" s="118"/>
      <c r="C127" s="129"/>
      <c r="D127" s="109"/>
      <c r="E127" s="113"/>
      <c r="F127" s="123"/>
      <c r="G127" s="89"/>
      <c r="H127" s="78"/>
      <c r="I127" s="125"/>
      <c r="J127" s="127"/>
      <c r="K127" s="127"/>
    </row>
    <row r="128" spans="1:19" ht="12" customHeight="1">
      <c r="A128" s="72" t="s">
        <v>13</v>
      </c>
      <c r="B128" s="72" t="s">
        <v>28</v>
      </c>
      <c r="C128" s="90" t="s">
        <v>122</v>
      </c>
      <c r="D128" s="71" t="s">
        <v>10</v>
      </c>
      <c r="E128" s="95" t="s">
        <v>32</v>
      </c>
      <c r="F128" s="105">
        <f>SUM(G128:K129)</f>
        <v>19663</v>
      </c>
      <c r="G128" s="85"/>
      <c r="H128" s="85">
        <f>60000-40337</f>
        <v>19663</v>
      </c>
      <c r="I128" s="92"/>
      <c r="J128" s="85"/>
      <c r="K128" s="86"/>
      <c r="R128" s="8"/>
    </row>
    <row r="129" spans="1:11" ht="12" customHeight="1">
      <c r="A129" s="72"/>
      <c r="B129" s="72"/>
      <c r="C129" s="74"/>
      <c r="D129" s="109"/>
      <c r="E129" s="96"/>
      <c r="F129" s="123"/>
      <c r="G129" s="78"/>
      <c r="H129" s="78"/>
      <c r="I129" s="80"/>
      <c r="J129" s="78"/>
      <c r="K129" s="82"/>
    </row>
    <row r="130" spans="1:11" ht="12" customHeight="1">
      <c r="A130" s="188" t="s">
        <v>13</v>
      </c>
      <c r="B130" s="93" t="s">
        <v>83</v>
      </c>
      <c r="C130" s="73" t="s">
        <v>84</v>
      </c>
      <c r="D130" s="71" t="s">
        <v>10</v>
      </c>
      <c r="E130" s="157" t="s">
        <v>32</v>
      </c>
      <c r="F130" s="105">
        <f>SUM(G130:K131)</f>
        <v>5000</v>
      </c>
      <c r="G130" s="77"/>
      <c r="H130" s="77">
        <v>5000</v>
      </c>
      <c r="I130" s="81"/>
      <c r="J130" s="77"/>
      <c r="K130" s="126"/>
    </row>
    <row r="131" spans="1:11" ht="12" customHeight="1">
      <c r="A131" s="188"/>
      <c r="B131" s="93"/>
      <c r="C131" s="74"/>
      <c r="D131" s="109"/>
      <c r="E131" s="157"/>
      <c r="F131" s="123"/>
      <c r="G131" s="78"/>
      <c r="H131" s="78"/>
      <c r="I131" s="82"/>
      <c r="J131" s="78"/>
      <c r="K131" s="127"/>
    </row>
    <row r="132" spans="1:11" ht="17.25" customHeight="1">
      <c r="A132" s="99" t="s">
        <v>13</v>
      </c>
      <c r="B132" s="101" t="s">
        <v>33</v>
      </c>
      <c r="C132" s="158" t="s">
        <v>101</v>
      </c>
      <c r="D132" s="71" t="s">
        <v>10</v>
      </c>
      <c r="E132" s="103" t="s">
        <v>32</v>
      </c>
      <c r="F132" s="105">
        <f>SUM(G132:K133)</f>
        <v>18300</v>
      </c>
      <c r="G132" s="105"/>
      <c r="H132" s="161">
        <v>18300</v>
      </c>
      <c r="I132" s="81"/>
      <c r="J132" s="172"/>
      <c r="K132" s="77"/>
    </row>
    <row r="133" spans="1:11" ht="17.25" customHeight="1">
      <c r="A133" s="110"/>
      <c r="B133" s="111"/>
      <c r="C133" s="159"/>
      <c r="D133" s="109"/>
      <c r="E133" s="160"/>
      <c r="F133" s="123"/>
      <c r="G133" s="123"/>
      <c r="H133" s="162"/>
      <c r="I133" s="82"/>
      <c r="J133" s="173"/>
      <c r="K133" s="78"/>
    </row>
    <row r="134" spans="1:11" ht="12.75" customHeight="1">
      <c r="A134" s="188" t="s">
        <v>50</v>
      </c>
      <c r="B134" s="93" t="s">
        <v>49</v>
      </c>
      <c r="C134" s="73" t="s">
        <v>110</v>
      </c>
      <c r="D134" s="57" t="s">
        <v>10</v>
      </c>
      <c r="E134" s="157" t="s">
        <v>32</v>
      </c>
      <c r="F134" s="105">
        <f>SUM(G134:K134)</f>
        <v>400000</v>
      </c>
      <c r="G134" s="77"/>
      <c r="H134" s="77">
        <v>30500</v>
      </c>
      <c r="I134" s="81"/>
      <c r="J134" s="77"/>
      <c r="K134" s="77">
        <f>400000-H134</f>
        <v>369500</v>
      </c>
    </row>
    <row r="135" spans="1:11" ht="12.75" customHeight="1">
      <c r="A135" s="188"/>
      <c r="B135" s="93"/>
      <c r="C135" s="74"/>
      <c r="D135" s="56" t="s">
        <v>36</v>
      </c>
      <c r="E135" s="157"/>
      <c r="F135" s="123"/>
      <c r="G135" s="78"/>
      <c r="H135" s="78"/>
      <c r="I135" s="82"/>
      <c r="J135" s="78"/>
      <c r="K135" s="78"/>
    </row>
    <row r="136" spans="1:11" ht="13.5" customHeight="1">
      <c r="A136" s="93" t="s">
        <v>50</v>
      </c>
      <c r="B136" s="93" t="s">
        <v>49</v>
      </c>
      <c r="C136" s="73" t="s">
        <v>56</v>
      </c>
      <c r="D136" s="71" t="s">
        <v>10</v>
      </c>
      <c r="E136" s="157" t="s">
        <v>32</v>
      </c>
      <c r="F136" s="105">
        <f>SUM(G136:K136)</f>
        <v>5000</v>
      </c>
      <c r="G136" s="77"/>
      <c r="H136" s="77">
        <f>10000-5000</f>
        <v>5000</v>
      </c>
      <c r="I136" s="81"/>
      <c r="J136" s="176"/>
      <c r="K136" s="176"/>
    </row>
    <row r="137" spans="1:11" ht="13.5" customHeight="1" thickBot="1">
      <c r="A137" s="93"/>
      <c r="B137" s="93"/>
      <c r="C137" s="189"/>
      <c r="D137" s="190"/>
      <c r="E137" s="157"/>
      <c r="F137" s="123"/>
      <c r="G137" s="85"/>
      <c r="H137" s="85"/>
      <c r="I137" s="86"/>
      <c r="J137" s="177"/>
      <c r="K137" s="177"/>
    </row>
    <row r="138" spans="1:11" s="6" customFormat="1" ht="18" customHeight="1" thickTop="1" thickBot="1">
      <c r="A138" s="28"/>
      <c r="B138" s="29"/>
      <c r="C138" s="29" t="s">
        <v>22</v>
      </c>
      <c r="D138" s="30"/>
      <c r="E138" s="31"/>
      <c r="F138" s="32">
        <f t="shared" ref="F138:K138" si="2">F10+F89</f>
        <v>41630755</v>
      </c>
      <c r="G138" s="32">
        <f t="shared" si="2"/>
        <v>1639350</v>
      </c>
      <c r="H138" s="39">
        <f t="shared" si="2"/>
        <v>5189259</v>
      </c>
      <c r="I138" s="36">
        <f t="shared" si="2"/>
        <v>2320886</v>
      </c>
      <c r="J138" s="33">
        <f t="shared" si="2"/>
        <v>300000</v>
      </c>
      <c r="K138" s="34">
        <f t="shared" si="2"/>
        <v>32181260</v>
      </c>
    </row>
    <row r="139" spans="1:11" ht="3.75" customHeight="1" thickTop="1">
      <c r="J139" s="13"/>
      <c r="K139" s="8"/>
    </row>
    <row r="140" spans="1:11" ht="15" customHeight="1">
      <c r="H140" s="8"/>
      <c r="J140" s="13"/>
      <c r="K140" s="8"/>
    </row>
    <row r="141" spans="1:11" ht="6" customHeight="1">
      <c r="J141" s="13"/>
      <c r="K141" s="8"/>
    </row>
    <row r="142" spans="1:11" ht="15" customHeight="1">
      <c r="H142" s="8"/>
      <c r="J142" s="13"/>
      <c r="K142" s="8"/>
    </row>
    <row r="143" spans="1:11" ht="15" customHeight="1">
      <c r="J143" s="13"/>
      <c r="K143" s="8"/>
    </row>
    <row r="144" spans="1:11" ht="15" customHeight="1">
      <c r="J144" s="13"/>
    </row>
    <row r="145" spans="10:10" ht="15" customHeight="1">
      <c r="J145" s="13"/>
    </row>
    <row r="146" spans="10:10" ht="15" customHeight="1">
      <c r="J146" s="13"/>
    </row>
    <row r="147" spans="10:10" ht="15" customHeight="1">
      <c r="J147" s="13"/>
    </row>
    <row r="148" spans="10:10" ht="15" customHeight="1">
      <c r="J148" s="13"/>
    </row>
    <row r="149" spans="10:10" ht="15" customHeight="1">
      <c r="J149" s="13"/>
    </row>
    <row r="150" spans="10:10" ht="15" customHeight="1">
      <c r="J150" s="13"/>
    </row>
    <row r="151" spans="10:10" ht="15" customHeight="1">
      <c r="J151" s="13"/>
    </row>
    <row r="152" spans="10:10" ht="15" customHeight="1">
      <c r="J152" s="13"/>
    </row>
    <row r="153" spans="10:10" ht="15" customHeight="1">
      <c r="J153" s="13"/>
    </row>
    <row r="154" spans="10:10" ht="15" customHeight="1">
      <c r="J154" s="13"/>
    </row>
    <row r="155" spans="10:10" ht="15" customHeight="1">
      <c r="J155" s="13"/>
    </row>
    <row r="156" spans="10:10" ht="15" customHeight="1">
      <c r="J156" s="13"/>
    </row>
    <row r="157" spans="10:10" ht="15" customHeight="1">
      <c r="J157" s="13"/>
    </row>
    <row r="158" spans="10:10" ht="15" customHeight="1">
      <c r="J158" s="13"/>
    </row>
    <row r="159" spans="10:10" ht="15" customHeight="1">
      <c r="J159" s="13"/>
    </row>
    <row r="160" spans="10:10" ht="15" customHeight="1">
      <c r="J160" s="13"/>
    </row>
    <row r="161" spans="10:10" ht="15" customHeight="1">
      <c r="J161" s="13"/>
    </row>
    <row r="162" spans="10:10" ht="15" customHeight="1">
      <c r="J162" s="13"/>
    </row>
    <row r="163" spans="10:10" ht="15" customHeight="1">
      <c r="J163" s="13"/>
    </row>
    <row r="164" spans="10:10" ht="15" customHeight="1">
      <c r="J164" s="13"/>
    </row>
    <row r="165" spans="10:10" ht="15" customHeight="1">
      <c r="J165" s="13"/>
    </row>
    <row r="166" spans="10:10" ht="15" customHeight="1">
      <c r="J166" s="13"/>
    </row>
    <row r="167" spans="10:10" ht="15" customHeight="1">
      <c r="J167" s="13"/>
    </row>
    <row r="168" spans="10:10" ht="15" customHeight="1">
      <c r="J168" s="13"/>
    </row>
    <row r="169" spans="10:10" ht="15" customHeight="1">
      <c r="J169" s="13"/>
    </row>
    <row r="170" spans="10:10" ht="15" customHeight="1">
      <c r="J170" s="13"/>
    </row>
    <row r="171" spans="10:10" ht="15" customHeight="1">
      <c r="J171" s="13"/>
    </row>
    <row r="172" spans="10:10" ht="15" customHeight="1">
      <c r="J172" s="13"/>
    </row>
    <row r="173" spans="10:10" ht="15" customHeight="1">
      <c r="J173" s="13"/>
    </row>
    <row r="174" spans="10:10">
      <c r="J174" s="13"/>
    </row>
    <row r="175" spans="10:10">
      <c r="J175" s="13"/>
    </row>
    <row r="176" spans="10:10">
      <c r="J176" s="13"/>
    </row>
    <row r="177" spans="10:10">
      <c r="J177" s="13"/>
    </row>
    <row r="178" spans="10:10">
      <c r="J178" s="13"/>
    </row>
    <row r="179" spans="10:10">
      <c r="J179" s="13"/>
    </row>
    <row r="180" spans="10:10">
      <c r="J180" s="13"/>
    </row>
    <row r="181" spans="10:10">
      <c r="J181" s="13"/>
    </row>
    <row r="182" spans="10:10">
      <c r="J182" s="13"/>
    </row>
    <row r="183" spans="10:10">
      <c r="J183" s="13"/>
    </row>
    <row r="184" spans="10:10">
      <c r="J184" s="13"/>
    </row>
    <row r="185" spans="10:10">
      <c r="J185" s="13"/>
    </row>
    <row r="186" spans="10:10">
      <c r="J186" s="13"/>
    </row>
    <row r="187" spans="10:10">
      <c r="J187" s="13"/>
    </row>
    <row r="188" spans="10:10">
      <c r="J188" s="13"/>
    </row>
  </sheetData>
  <mergeCells count="610">
    <mergeCell ref="A114:A115"/>
    <mergeCell ref="B114:B115"/>
    <mergeCell ref="C114:C115"/>
    <mergeCell ref="D114:D115"/>
    <mergeCell ref="E114:E115"/>
    <mergeCell ref="F114:F115"/>
    <mergeCell ref="K136:K137"/>
    <mergeCell ref="G134:G135"/>
    <mergeCell ref="H134:H135"/>
    <mergeCell ref="I134:I135"/>
    <mergeCell ref="J134:J135"/>
    <mergeCell ref="K134:K135"/>
    <mergeCell ref="G114:G115"/>
    <mergeCell ref="H114:H115"/>
    <mergeCell ref="I114:I115"/>
    <mergeCell ref="J114:J115"/>
    <mergeCell ref="K114:K115"/>
    <mergeCell ref="A136:A137"/>
    <mergeCell ref="B136:B137"/>
    <mergeCell ref="C136:C137"/>
    <mergeCell ref="D136:D137"/>
    <mergeCell ref="E136:E137"/>
    <mergeCell ref="G132:G133"/>
    <mergeCell ref="H132:H133"/>
    <mergeCell ref="I132:I133"/>
    <mergeCell ref="J132:J133"/>
    <mergeCell ref="F136:F137"/>
    <mergeCell ref="G136:G137"/>
    <mergeCell ref="H136:H137"/>
    <mergeCell ref="I136:I137"/>
    <mergeCell ref="J136:J137"/>
    <mergeCell ref="K128:K129"/>
    <mergeCell ref="F128:F129"/>
    <mergeCell ref="K132:K133"/>
    <mergeCell ref="A134:A135"/>
    <mergeCell ref="B134:B135"/>
    <mergeCell ref="C134:C135"/>
    <mergeCell ref="E134:E135"/>
    <mergeCell ref="F134:F135"/>
    <mergeCell ref="A132:A133"/>
    <mergeCell ref="B132:B133"/>
    <mergeCell ref="C132:C133"/>
    <mergeCell ref="D132:D133"/>
    <mergeCell ref="E132:E133"/>
    <mergeCell ref="F132:F133"/>
    <mergeCell ref="I124:I125"/>
    <mergeCell ref="J124:J125"/>
    <mergeCell ref="K124:K125"/>
    <mergeCell ref="F124:F125"/>
    <mergeCell ref="A130:A131"/>
    <mergeCell ref="B130:B131"/>
    <mergeCell ref="C130:C131"/>
    <mergeCell ref="D130:D131"/>
    <mergeCell ref="E130:E131"/>
    <mergeCell ref="A128:A129"/>
    <mergeCell ref="B128:B129"/>
    <mergeCell ref="C128:C129"/>
    <mergeCell ref="D128:D129"/>
    <mergeCell ref="E128:E129"/>
    <mergeCell ref="F130:F131"/>
    <mergeCell ref="G130:G131"/>
    <mergeCell ref="H130:H131"/>
    <mergeCell ref="I130:I131"/>
    <mergeCell ref="J130:J131"/>
    <mergeCell ref="K130:K131"/>
    <mergeCell ref="G128:G129"/>
    <mergeCell ref="H128:H129"/>
    <mergeCell ref="I128:I129"/>
    <mergeCell ref="J128:J129"/>
    <mergeCell ref="K122:K123"/>
    <mergeCell ref="G120:G121"/>
    <mergeCell ref="H120:H121"/>
    <mergeCell ref="I120:I121"/>
    <mergeCell ref="J120:J121"/>
    <mergeCell ref="K120:K121"/>
    <mergeCell ref="A126:A127"/>
    <mergeCell ref="B126:B127"/>
    <mergeCell ref="C126:C127"/>
    <mergeCell ref="D126:D127"/>
    <mergeCell ref="E126:E127"/>
    <mergeCell ref="A124:A125"/>
    <mergeCell ref="B124:B125"/>
    <mergeCell ref="C124:C125"/>
    <mergeCell ref="D124:D125"/>
    <mergeCell ref="E124:E125"/>
    <mergeCell ref="F126:F127"/>
    <mergeCell ref="G126:G127"/>
    <mergeCell ref="H126:H127"/>
    <mergeCell ref="I126:I127"/>
    <mergeCell ref="J126:J127"/>
    <mergeCell ref="K126:K127"/>
    <mergeCell ref="G124:G125"/>
    <mergeCell ref="H124:H125"/>
    <mergeCell ref="A122:A123"/>
    <mergeCell ref="B122:B123"/>
    <mergeCell ref="C122:C123"/>
    <mergeCell ref="D122:D123"/>
    <mergeCell ref="E122:E123"/>
    <mergeCell ref="G118:G119"/>
    <mergeCell ref="H118:H119"/>
    <mergeCell ref="I118:I119"/>
    <mergeCell ref="J118:J119"/>
    <mergeCell ref="F122:F123"/>
    <mergeCell ref="G122:G123"/>
    <mergeCell ref="H122:H123"/>
    <mergeCell ref="I122:I123"/>
    <mergeCell ref="J122:J123"/>
    <mergeCell ref="K118:K119"/>
    <mergeCell ref="A120:A121"/>
    <mergeCell ref="B120:B121"/>
    <mergeCell ref="C120:C121"/>
    <mergeCell ref="E120:E121"/>
    <mergeCell ref="F120:F121"/>
    <mergeCell ref="G116:G117"/>
    <mergeCell ref="H116:H117"/>
    <mergeCell ref="I116:I117"/>
    <mergeCell ref="J116:J117"/>
    <mergeCell ref="K116:K117"/>
    <mergeCell ref="A118:A119"/>
    <mergeCell ref="B118:B119"/>
    <mergeCell ref="C118:C119"/>
    <mergeCell ref="E118:E119"/>
    <mergeCell ref="F118:F119"/>
    <mergeCell ref="A116:A117"/>
    <mergeCell ref="B116:B117"/>
    <mergeCell ref="C116:C117"/>
    <mergeCell ref="D116:D117"/>
    <mergeCell ref="E116:E117"/>
    <mergeCell ref="F116:F117"/>
    <mergeCell ref="F112:F113"/>
    <mergeCell ref="G112:G113"/>
    <mergeCell ref="H112:H113"/>
    <mergeCell ref="I112:I113"/>
    <mergeCell ref="J112:J113"/>
    <mergeCell ref="K112:K113"/>
    <mergeCell ref="G110:G111"/>
    <mergeCell ref="H110:H111"/>
    <mergeCell ref="I110:I111"/>
    <mergeCell ref="J110:J111"/>
    <mergeCell ref="K110:K111"/>
    <mergeCell ref="F110:F111"/>
    <mergeCell ref="A112:A113"/>
    <mergeCell ref="B112:B113"/>
    <mergeCell ref="C112:C113"/>
    <mergeCell ref="D112:D113"/>
    <mergeCell ref="E112:E113"/>
    <mergeCell ref="A110:A111"/>
    <mergeCell ref="B110:B111"/>
    <mergeCell ref="C110:C111"/>
    <mergeCell ref="D110:D111"/>
    <mergeCell ref="E110:E111"/>
    <mergeCell ref="H108:H109"/>
    <mergeCell ref="I108:I109"/>
    <mergeCell ref="J108:J109"/>
    <mergeCell ref="K108:K109"/>
    <mergeCell ref="G106:G10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A106:A107"/>
    <mergeCell ref="B106:B107"/>
    <mergeCell ref="C106:C107"/>
    <mergeCell ref="D106:D107"/>
    <mergeCell ref="E106:E107"/>
    <mergeCell ref="F106:F107"/>
    <mergeCell ref="A104:A105"/>
    <mergeCell ref="B104:B105"/>
    <mergeCell ref="C104:C105"/>
    <mergeCell ref="D104:D105"/>
    <mergeCell ref="E104:E105"/>
    <mergeCell ref="F104:F105"/>
    <mergeCell ref="G104:G105"/>
    <mergeCell ref="A108:A109"/>
    <mergeCell ref="B108:B109"/>
    <mergeCell ref="C108:C109"/>
    <mergeCell ref="D108:D109"/>
    <mergeCell ref="E108:E109"/>
    <mergeCell ref="F108:F109"/>
    <mergeCell ref="G108:G109"/>
    <mergeCell ref="K100:K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A100:A101"/>
    <mergeCell ref="B100:B101"/>
    <mergeCell ref="C100:C101"/>
    <mergeCell ref="E100:E101"/>
    <mergeCell ref="F100:F101"/>
    <mergeCell ref="G100:G101"/>
    <mergeCell ref="H100:H101"/>
    <mergeCell ref="I100:I101"/>
    <mergeCell ref="J100:J101"/>
    <mergeCell ref="J94:J95"/>
    <mergeCell ref="K94:K95"/>
    <mergeCell ref="K96:K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C96:C97"/>
    <mergeCell ref="F96:F97"/>
    <mergeCell ref="G96:G97"/>
    <mergeCell ref="H96:H97"/>
    <mergeCell ref="I96:I97"/>
    <mergeCell ref="J96:J97"/>
    <mergeCell ref="J98:J99"/>
    <mergeCell ref="K98:K99"/>
    <mergeCell ref="J90:J91"/>
    <mergeCell ref="K90:K91"/>
    <mergeCell ref="C92:C93"/>
    <mergeCell ref="F92:F93"/>
    <mergeCell ref="G92:G93"/>
    <mergeCell ref="H92:H93"/>
    <mergeCell ref="I92:I93"/>
    <mergeCell ref="J92:J93"/>
    <mergeCell ref="K92:K93"/>
    <mergeCell ref="A90:A97"/>
    <mergeCell ref="B90:B97"/>
    <mergeCell ref="C90:C91"/>
    <mergeCell ref="D90:D97"/>
    <mergeCell ref="E90:E97"/>
    <mergeCell ref="F90:F91"/>
    <mergeCell ref="G90:G91"/>
    <mergeCell ref="H90:H91"/>
    <mergeCell ref="I90:I91"/>
    <mergeCell ref="C94:C95"/>
    <mergeCell ref="F94:F95"/>
    <mergeCell ref="G94:G95"/>
    <mergeCell ref="H94:H95"/>
    <mergeCell ref="I94:I95"/>
    <mergeCell ref="K85:K86"/>
    <mergeCell ref="A87:A88"/>
    <mergeCell ref="B87:B88"/>
    <mergeCell ref="C87:C88"/>
    <mergeCell ref="E87:E88"/>
    <mergeCell ref="F87:F88"/>
    <mergeCell ref="G87:G88"/>
    <mergeCell ref="H87:H88"/>
    <mergeCell ref="I87:I88"/>
    <mergeCell ref="J87:J88"/>
    <mergeCell ref="K87:K88"/>
    <mergeCell ref="A85:A86"/>
    <mergeCell ref="B85:B86"/>
    <mergeCell ref="C85:C86"/>
    <mergeCell ref="E85:E86"/>
    <mergeCell ref="F85:F86"/>
    <mergeCell ref="G85:G86"/>
    <mergeCell ref="H85:H86"/>
    <mergeCell ref="I85:I86"/>
    <mergeCell ref="J85:J86"/>
    <mergeCell ref="K81:K82"/>
    <mergeCell ref="A83:A84"/>
    <mergeCell ref="B83:B84"/>
    <mergeCell ref="C83:C84"/>
    <mergeCell ref="E83:E84"/>
    <mergeCell ref="F83:F84"/>
    <mergeCell ref="G83:G84"/>
    <mergeCell ref="H83:H84"/>
    <mergeCell ref="I83:I84"/>
    <mergeCell ref="J83:J84"/>
    <mergeCell ref="K83:K84"/>
    <mergeCell ref="A81:A82"/>
    <mergeCell ref="B81:B82"/>
    <mergeCell ref="C81:C82"/>
    <mergeCell ref="E81:E82"/>
    <mergeCell ref="F81:F82"/>
    <mergeCell ref="G81:G82"/>
    <mergeCell ref="H81:H82"/>
    <mergeCell ref="I81:I82"/>
    <mergeCell ref="J81:J82"/>
    <mergeCell ref="K77:K78"/>
    <mergeCell ref="A79:A80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A77:A78"/>
    <mergeCell ref="B77:B78"/>
    <mergeCell ref="C77:C78"/>
    <mergeCell ref="E77:E78"/>
    <mergeCell ref="F77:F78"/>
    <mergeCell ref="G77:G78"/>
    <mergeCell ref="H77:H78"/>
    <mergeCell ref="I77:I78"/>
    <mergeCell ref="J77:J78"/>
    <mergeCell ref="O73:O74"/>
    <mergeCell ref="A75:A76"/>
    <mergeCell ref="B75:B76"/>
    <mergeCell ref="C75:C76"/>
    <mergeCell ref="E75:E76"/>
    <mergeCell ref="F75:F76"/>
    <mergeCell ref="G75:G76"/>
    <mergeCell ref="H75:H76"/>
    <mergeCell ref="I75:I76"/>
    <mergeCell ref="J75:J76"/>
    <mergeCell ref="K75:K76"/>
    <mergeCell ref="O75:O76"/>
    <mergeCell ref="K71:K72"/>
    <mergeCell ref="A73:A74"/>
    <mergeCell ref="B73:B74"/>
    <mergeCell ref="C73:C74"/>
    <mergeCell ref="E73:E74"/>
    <mergeCell ref="F73:F74"/>
    <mergeCell ref="G73:G74"/>
    <mergeCell ref="H73:H74"/>
    <mergeCell ref="I73:I74"/>
    <mergeCell ref="J73:J74"/>
    <mergeCell ref="K73:K74"/>
    <mergeCell ref="A71:A72"/>
    <mergeCell ref="B71:B72"/>
    <mergeCell ref="C71:C72"/>
    <mergeCell ref="E71:E72"/>
    <mergeCell ref="F71:F72"/>
    <mergeCell ref="G71:G72"/>
    <mergeCell ref="H71:H72"/>
    <mergeCell ref="I71:I72"/>
    <mergeCell ref="J71:J72"/>
    <mergeCell ref="L67:N70"/>
    <mergeCell ref="A69:A70"/>
    <mergeCell ref="B69:B70"/>
    <mergeCell ref="C69:C70"/>
    <mergeCell ref="E69:E70"/>
    <mergeCell ref="F69:F70"/>
    <mergeCell ref="G69:G70"/>
    <mergeCell ref="H69:H70"/>
    <mergeCell ref="I69:I70"/>
    <mergeCell ref="J69:J70"/>
    <mergeCell ref="K69:K70"/>
    <mergeCell ref="K65:K66"/>
    <mergeCell ref="A67:A68"/>
    <mergeCell ref="B67:B68"/>
    <mergeCell ref="C67:C68"/>
    <mergeCell ref="E67:E68"/>
    <mergeCell ref="F67:F68"/>
    <mergeCell ref="G67:G68"/>
    <mergeCell ref="H67:H68"/>
    <mergeCell ref="I67:I68"/>
    <mergeCell ref="J67:J68"/>
    <mergeCell ref="K67:K68"/>
    <mergeCell ref="A65:A66"/>
    <mergeCell ref="B65:B66"/>
    <mergeCell ref="C65:C66"/>
    <mergeCell ref="E65:E66"/>
    <mergeCell ref="F65:F66"/>
    <mergeCell ref="G65:G66"/>
    <mergeCell ref="H65:H66"/>
    <mergeCell ref="I65:I66"/>
    <mergeCell ref="J65:J66"/>
    <mergeCell ref="K61:K62"/>
    <mergeCell ref="A63:A64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A61:A62"/>
    <mergeCell ref="B61:B62"/>
    <mergeCell ref="C61:C62"/>
    <mergeCell ref="E61:E62"/>
    <mergeCell ref="F61:F62"/>
    <mergeCell ref="G61:G62"/>
    <mergeCell ref="H61:H62"/>
    <mergeCell ref="I61:I62"/>
    <mergeCell ref="J61:J62"/>
    <mergeCell ref="K57:K58"/>
    <mergeCell ref="A59:A60"/>
    <mergeCell ref="B59:B60"/>
    <mergeCell ref="C59:C60"/>
    <mergeCell ref="E59:E60"/>
    <mergeCell ref="F59:F60"/>
    <mergeCell ref="G59:G60"/>
    <mergeCell ref="H59:H60"/>
    <mergeCell ref="I59:I60"/>
    <mergeCell ref="J59:J60"/>
    <mergeCell ref="K59:K60"/>
    <mergeCell ref="A57:A58"/>
    <mergeCell ref="B57:B58"/>
    <mergeCell ref="C57:C58"/>
    <mergeCell ref="E57:E58"/>
    <mergeCell ref="F57:F58"/>
    <mergeCell ref="G57:G58"/>
    <mergeCell ref="H57:H58"/>
    <mergeCell ref="I57:I58"/>
    <mergeCell ref="J57:J58"/>
    <mergeCell ref="K53:K54"/>
    <mergeCell ref="K49:K50"/>
    <mergeCell ref="D50:D56"/>
    <mergeCell ref="C51:C52"/>
    <mergeCell ref="F51:F52"/>
    <mergeCell ref="G51:G52"/>
    <mergeCell ref="H51:H52"/>
    <mergeCell ref="I51:I52"/>
    <mergeCell ref="J51:J52"/>
    <mergeCell ref="K51:K52"/>
    <mergeCell ref="C53:C54"/>
    <mergeCell ref="K55:K56"/>
    <mergeCell ref="C55:C56"/>
    <mergeCell ref="F55:F56"/>
    <mergeCell ref="G55:G56"/>
    <mergeCell ref="H55:H56"/>
    <mergeCell ref="I55:I56"/>
    <mergeCell ref="J55:J56"/>
    <mergeCell ref="A49:A56"/>
    <mergeCell ref="B49:B56"/>
    <mergeCell ref="C49:C50"/>
    <mergeCell ref="E49:E56"/>
    <mergeCell ref="F49:F50"/>
    <mergeCell ref="G49:G50"/>
    <mergeCell ref="H49:H50"/>
    <mergeCell ref="I49:I50"/>
    <mergeCell ref="J49:J50"/>
    <mergeCell ref="F53:F54"/>
    <mergeCell ref="G53:G54"/>
    <mergeCell ref="H53:H54"/>
    <mergeCell ref="I53:I54"/>
    <mergeCell ref="J53:J54"/>
    <mergeCell ref="K45:K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A45:A46"/>
    <mergeCell ref="B45:B46"/>
    <mergeCell ref="C45:C46"/>
    <mergeCell ref="E45:E46"/>
    <mergeCell ref="F45:F46"/>
    <mergeCell ref="G45:G46"/>
    <mergeCell ref="H45:H46"/>
    <mergeCell ref="I45:I46"/>
    <mergeCell ref="J45:J46"/>
    <mergeCell ref="C39:C40"/>
    <mergeCell ref="F39:F40"/>
    <mergeCell ref="G39:G40"/>
    <mergeCell ref="H39:H40"/>
    <mergeCell ref="I39:I40"/>
    <mergeCell ref="J39:J40"/>
    <mergeCell ref="K39:K40"/>
    <mergeCell ref="K41:K42"/>
    <mergeCell ref="A43:A44"/>
    <mergeCell ref="B43:B44"/>
    <mergeCell ref="C43:C44"/>
    <mergeCell ref="E43:E44"/>
    <mergeCell ref="F43:F44"/>
    <mergeCell ref="G43:G44"/>
    <mergeCell ref="H43:H44"/>
    <mergeCell ref="I43:I44"/>
    <mergeCell ref="J43:J44"/>
    <mergeCell ref="C41:C42"/>
    <mergeCell ref="F41:F42"/>
    <mergeCell ref="G41:G42"/>
    <mergeCell ref="H41:H42"/>
    <mergeCell ref="I41:I42"/>
    <mergeCell ref="J41:J42"/>
    <mergeCell ref="K43:K44"/>
    <mergeCell ref="A37:A38"/>
    <mergeCell ref="B37:B38"/>
    <mergeCell ref="C37:C38"/>
    <mergeCell ref="F37:F38"/>
    <mergeCell ref="G37:G38"/>
    <mergeCell ref="H37:H38"/>
    <mergeCell ref="K33:K34"/>
    <mergeCell ref="C35:C36"/>
    <mergeCell ref="F35:F36"/>
    <mergeCell ref="G35:G36"/>
    <mergeCell ref="H35:H36"/>
    <mergeCell ref="I35:I36"/>
    <mergeCell ref="J35:J36"/>
    <mergeCell ref="K35:K36"/>
    <mergeCell ref="C33:C34"/>
    <mergeCell ref="F33:F34"/>
    <mergeCell ref="G33:G34"/>
    <mergeCell ref="H33:H34"/>
    <mergeCell ref="I33:I34"/>
    <mergeCell ref="J33:J34"/>
    <mergeCell ref="I37:I38"/>
    <mergeCell ref="J37:J38"/>
    <mergeCell ref="K37:K38"/>
    <mergeCell ref="K29:K30"/>
    <mergeCell ref="C31:C32"/>
    <mergeCell ref="F31:F32"/>
    <mergeCell ref="G31:G32"/>
    <mergeCell ref="H31:H32"/>
    <mergeCell ref="I31:I32"/>
    <mergeCell ref="J31:J32"/>
    <mergeCell ref="K31:K32"/>
    <mergeCell ref="C29:C30"/>
    <mergeCell ref="F29:F30"/>
    <mergeCell ref="G29:G30"/>
    <mergeCell ref="H29:H30"/>
    <mergeCell ref="I29:I30"/>
    <mergeCell ref="J29:J30"/>
    <mergeCell ref="I25:I26"/>
    <mergeCell ref="J25:J26"/>
    <mergeCell ref="K25:K26"/>
    <mergeCell ref="C27:C28"/>
    <mergeCell ref="F27:F28"/>
    <mergeCell ref="G27:G28"/>
    <mergeCell ref="H27:H28"/>
    <mergeCell ref="I27:I28"/>
    <mergeCell ref="J27:J28"/>
    <mergeCell ref="K27:K28"/>
    <mergeCell ref="C21:C22"/>
    <mergeCell ref="F21:F22"/>
    <mergeCell ref="G21:G22"/>
    <mergeCell ref="H21:H22"/>
    <mergeCell ref="I21:I22"/>
    <mergeCell ref="J21:J22"/>
    <mergeCell ref="K21:K22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J17:J18"/>
    <mergeCell ref="K17:K18"/>
    <mergeCell ref="D18:D42"/>
    <mergeCell ref="A19:A20"/>
    <mergeCell ref="B19:B20"/>
    <mergeCell ref="C19:C20"/>
    <mergeCell ref="F19:F20"/>
    <mergeCell ref="G19:G20"/>
    <mergeCell ref="H19:H20"/>
    <mergeCell ref="I19:I20"/>
    <mergeCell ref="C17:C18"/>
    <mergeCell ref="E17:E42"/>
    <mergeCell ref="F17:F18"/>
    <mergeCell ref="G17:G18"/>
    <mergeCell ref="H17:H18"/>
    <mergeCell ref="I17:I18"/>
    <mergeCell ref="C25:C26"/>
    <mergeCell ref="F25:F26"/>
    <mergeCell ref="G25:G26"/>
    <mergeCell ref="H25:H26"/>
    <mergeCell ref="J19:J20"/>
    <mergeCell ref="K19:K20"/>
    <mergeCell ref="A21:A22"/>
    <mergeCell ref="B21:B22"/>
    <mergeCell ref="K15:K16"/>
    <mergeCell ref="K11:K12"/>
    <mergeCell ref="D12:D16"/>
    <mergeCell ref="C13:C14"/>
    <mergeCell ref="F13:F14"/>
    <mergeCell ref="G13:G14"/>
    <mergeCell ref="H13:H14"/>
    <mergeCell ref="I13:I14"/>
    <mergeCell ref="J13:J14"/>
    <mergeCell ref="K13:K14"/>
    <mergeCell ref="C15:C16"/>
    <mergeCell ref="A11:A16"/>
    <mergeCell ref="B11:B16"/>
    <mergeCell ref="C11:C12"/>
    <mergeCell ref="E11:E16"/>
    <mergeCell ref="F11:F12"/>
    <mergeCell ref="G11:G12"/>
    <mergeCell ref="H11:H12"/>
    <mergeCell ref="I11:I12"/>
    <mergeCell ref="J11:J12"/>
    <mergeCell ref="F15:F16"/>
    <mergeCell ref="G15:G16"/>
    <mergeCell ref="H15:H16"/>
    <mergeCell ref="I15:I16"/>
    <mergeCell ref="J15:J16"/>
    <mergeCell ref="A5:K5"/>
    <mergeCell ref="A7:A8"/>
    <mergeCell ref="B7:B8"/>
    <mergeCell ref="C7:C8"/>
    <mergeCell ref="E7:E8"/>
    <mergeCell ref="F7:F8"/>
    <mergeCell ref="G7:G8"/>
    <mergeCell ref="H7:H8"/>
    <mergeCell ref="I7:I8"/>
    <mergeCell ref="J7:J8"/>
    <mergeCell ref="K7:K8"/>
  </mergeCells>
  <pageMargins left="0.59055118110236227" right="0.59055118110236227" top="0.98425196850393704" bottom="0.78740157480314965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zad.inwest-1a-28.09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UM</cp:lastModifiedBy>
  <cp:revision>1</cp:revision>
  <cp:lastPrinted>2010-09-20T13:08:38Z</cp:lastPrinted>
  <dcterms:created xsi:type="dcterms:W3CDTF">2006-11-09T10:25:56Z</dcterms:created>
  <dcterms:modified xsi:type="dcterms:W3CDTF">2010-09-21T06:37:25Z</dcterms:modified>
</cp:coreProperties>
</file>